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65431" windowWidth="10290" windowHeight="6360" tabRatio="602" activeTab="1"/>
  </bookViews>
  <sheets>
    <sheet name="표지" sheetId="1" r:id="rId1"/>
    <sheet name="목차" sheetId="2" r:id="rId2"/>
    <sheet name="색지1" sheetId="3" r:id="rId3"/>
    <sheet name="예산총칙" sheetId="4" r:id="rId4"/>
    <sheet name="색지2" sheetId="5" r:id="rId5"/>
    <sheet name="총괄표" sheetId="6" r:id="rId6"/>
    <sheet name="색지3" sheetId="7" r:id="rId7"/>
    <sheet name="세입" sheetId="8" r:id="rId8"/>
    <sheet name="색지4" sheetId="9" r:id="rId9"/>
    <sheet name="세출" sheetId="10" r:id="rId10"/>
  </sheets>
  <definedNames>
    <definedName name="_xlnm.Print_Area" localSheetId="1">'목차'!$A$1:$K$14</definedName>
    <definedName name="_xlnm.Print_Area" localSheetId="7">'세입'!$A$1:$I$74</definedName>
    <definedName name="_xlnm.Print_Area" localSheetId="9">'세출'!$A$1:$I$210</definedName>
    <definedName name="_xlnm.Print_Area" localSheetId="5">'총괄표'!$A$1:$L$27</definedName>
    <definedName name="_xlnm.Print_Area" localSheetId="0">'표지'!$A$1:$L$16</definedName>
    <definedName name="_xlnm.Print_Titles" localSheetId="7">'세입'!$2:$4</definedName>
    <definedName name="_xlnm.Print_Titles" localSheetId="9">'세출'!$2:$4</definedName>
    <definedName name="_xlnm.Print_Titles" localSheetId="5">'총괄표'!$5:$7</definedName>
  </definedNames>
  <calcPr fullCalcOnLoad="1"/>
</workbook>
</file>

<file path=xl/sharedStrings.xml><?xml version="1.0" encoding="utf-8"?>
<sst xmlns="http://schemas.openxmlformats.org/spreadsheetml/2006/main" count="451" uniqueCount="379">
  <si>
    <t>이월금</t>
  </si>
  <si>
    <t>`</t>
  </si>
  <si>
    <t>예비비</t>
  </si>
  <si>
    <t>잡지출</t>
  </si>
  <si>
    <t>적립금</t>
  </si>
  <si>
    <t>운영충당적립금</t>
  </si>
  <si>
    <t>준비금</t>
  </si>
  <si>
    <t>환경개선준비금</t>
  </si>
  <si>
    <t>총계</t>
  </si>
  <si>
    <t>사무비</t>
  </si>
  <si>
    <t>인건비</t>
  </si>
  <si>
    <t>급여</t>
  </si>
  <si>
    <t>업무추진비</t>
  </si>
  <si>
    <t>운영비</t>
  </si>
  <si>
    <t>재산조성비</t>
  </si>
  <si>
    <t>시설비</t>
  </si>
  <si>
    <t>사업비</t>
  </si>
  <si>
    <t>비지정후원금</t>
  </si>
  <si>
    <t>관</t>
  </si>
  <si>
    <t>항</t>
  </si>
  <si>
    <t>목</t>
  </si>
  <si>
    <t>입소비용수입</t>
  </si>
  <si>
    <t>보조금수입</t>
  </si>
  <si>
    <t>장기요양급여수입</t>
  </si>
  <si>
    <t>잡수입</t>
  </si>
  <si>
    <t>전출금</t>
  </si>
  <si>
    <t>▫ 기관운영비</t>
  </si>
  <si>
    <t>▫ 의료비</t>
  </si>
  <si>
    <t>▫ 연료비</t>
  </si>
  <si>
    <t>제수당</t>
  </si>
  <si>
    <t>▫ 제수당</t>
  </si>
  <si>
    <t>▫ 퇴직적립금</t>
  </si>
  <si>
    <t>회의비</t>
  </si>
  <si>
    <t>공공요금</t>
  </si>
  <si>
    <t>차량비</t>
  </si>
  <si>
    <t>시설장비유지비</t>
  </si>
  <si>
    <t>생계비</t>
  </si>
  <si>
    <t>수용기관경비</t>
  </si>
  <si>
    <t>의료비</t>
  </si>
  <si>
    <t>연료비</t>
  </si>
  <si>
    <t>법인회계전출금</t>
  </si>
  <si>
    <t xml:space="preserve"> ▫ 비지정후원금</t>
  </si>
  <si>
    <t xml:space="preserve"> ▫ 법인회계전출금</t>
  </si>
  <si>
    <t>▫ 생계비</t>
  </si>
  <si>
    <t>▫ 시설장비유지비</t>
  </si>
  <si>
    <t>▫ 기타운영비</t>
  </si>
  <si>
    <t>▫ 수용비 및 수수료</t>
  </si>
  <si>
    <t>증감(B)-(A)</t>
  </si>
  <si>
    <t>액수</t>
  </si>
  <si>
    <t>비율(%)</t>
  </si>
  <si>
    <t xml:space="preserve"> ▫ 기타예금이자수입</t>
  </si>
  <si>
    <t>기관운영비</t>
  </si>
  <si>
    <t>▫ 사회보험료</t>
  </si>
  <si>
    <t>기타후생경비</t>
  </si>
  <si>
    <t>▫ 기타후생경비</t>
  </si>
  <si>
    <t>▫ 회의비</t>
  </si>
  <si>
    <t>여비</t>
  </si>
  <si>
    <t>▫ 여비</t>
  </si>
  <si>
    <t>▫ 공공요금</t>
  </si>
  <si>
    <t>제세공과금</t>
  </si>
  <si>
    <t>▫ 제세공과금</t>
  </si>
  <si>
    <t>▫ 차량비</t>
  </si>
  <si>
    <t>기타운영비</t>
  </si>
  <si>
    <t>▫ 시설비</t>
  </si>
  <si>
    <t>자산취득비</t>
  </si>
  <si>
    <t>▫ 자산취득비</t>
  </si>
  <si>
    <t>▫ 수용기관경비</t>
  </si>
  <si>
    <t>피복비</t>
  </si>
  <si>
    <t>▫ 피복비</t>
  </si>
  <si>
    <t>▫ 기타 잡지출</t>
  </si>
  <si>
    <t>▫ 예비비</t>
  </si>
  <si>
    <t>반환금</t>
  </si>
  <si>
    <t>▫ 정부보조금반환금</t>
  </si>
  <si>
    <t>정부보조금 반환금(예금이자수입 등)</t>
  </si>
  <si>
    <t>▫ 운영충당적립금</t>
  </si>
  <si>
    <t>시설환경개선준비금</t>
  </si>
  <si>
    <t>▫ 시설환경개선준비금</t>
  </si>
  <si>
    <t>후원금수입</t>
  </si>
  <si>
    <t>지정후원금</t>
  </si>
  <si>
    <t xml:space="preserve"> ▫ 지정후원금</t>
  </si>
  <si>
    <t>기타예금이자수입</t>
  </si>
  <si>
    <t>기타잡수입</t>
  </si>
  <si>
    <t xml:space="preserve"> ▫ 기타잡수입</t>
  </si>
  <si>
    <t>시군구보조금</t>
  </si>
  <si>
    <t xml:space="preserve"> ▫ 시군구보조금</t>
  </si>
  <si>
    <t>전년도이월금</t>
  </si>
  <si>
    <t xml:space="preserve"> ▫ 전년도 이월금</t>
  </si>
  <si>
    <t>본인부담금수입</t>
  </si>
  <si>
    <t>식재료비수입</t>
  </si>
  <si>
    <t xml:space="preserve">▫ 식재료비수입 </t>
  </si>
  <si>
    <t>요양급여수입</t>
  </si>
  <si>
    <t xml:space="preserve">2. 세입(안) </t>
  </si>
  <si>
    <t xml:space="preserve">3. 세출(안) </t>
  </si>
  <si>
    <t>수용비및수수료</t>
  </si>
  <si>
    <t>2017년</t>
  </si>
  <si>
    <t>▫ 본인부담금수입 (75명)</t>
  </si>
  <si>
    <t>종사자수당  120,000원×40명×12월</t>
  </si>
  <si>
    <t>종사자수당  120,000원×03명×04월</t>
  </si>
  <si>
    <t>종사자수당  150,000원×03명×08월</t>
  </si>
  <si>
    <t>종사자수당  150,000원×12명×12월</t>
  </si>
  <si>
    <t>기초생활수급자 주부식비  248,371원×25명×12월</t>
  </si>
  <si>
    <t>전입금</t>
  </si>
  <si>
    <t>법인전입금</t>
  </si>
  <si>
    <t xml:space="preserve"> ▫ 법인전입금</t>
  </si>
  <si>
    <t>특별수당  150,000원×12명×12월</t>
  </si>
  <si>
    <t>특별수당  150,000원×03명×08월</t>
  </si>
  <si>
    <t>특별수당  120,000원×03명×04월</t>
  </si>
  <si>
    <t>특별수당  120,000원×40명×12월</t>
  </si>
  <si>
    <t>▫ 지정후원금 50,000원×12월</t>
  </si>
  <si>
    <t>▫비지정후원금 2,000,000원×12월</t>
  </si>
  <si>
    <t>▫법인전입금 150,000,000원×1회</t>
  </si>
  <si>
    <t>직원용 차재료 구입 250,000원×12회</t>
  </si>
  <si>
    <t>경조사 및 유관기관업무협의경비 외  600,000원×12회</t>
  </si>
  <si>
    <t>유선방송  130,000원×12월</t>
  </si>
  <si>
    <t>의료폐기물  40,000원×12월</t>
  </si>
  <si>
    <t>사무용품  400,000원×12월</t>
  </si>
  <si>
    <t>문자구입  15,000원×12월</t>
  </si>
  <si>
    <t>현수막제작  200,000원×12월</t>
  </si>
  <si>
    <t>전화요금  200,000원×12월</t>
  </si>
  <si>
    <t>상하수도요금  800,000원×12월</t>
  </si>
  <si>
    <t>전기안전관리대행  300,000원×12월</t>
  </si>
  <si>
    <t>우편물발송  150,000원×12월</t>
  </si>
  <si>
    <t>전기요금  3,500,000원×12월</t>
  </si>
  <si>
    <t>차량연료비  300,000원×3대×12월</t>
  </si>
  <si>
    <t>종사자 경조사관련 경비  300,000원×12회</t>
  </si>
  <si>
    <t>시설차량구입 할부  580,000원×12회</t>
  </si>
  <si>
    <t>시설장비유지비(시설내장비수리) 500,000원×12월</t>
  </si>
  <si>
    <t>요양보호사 야간 간식  300,000원×12회</t>
  </si>
  <si>
    <t>뉴케어  950원×20명×365일</t>
  </si>
  <si>
    <t>점보롤화장지  100,000원×12회</t>
  </si>
  <si>
    <t xml:space="preserve">난방가스사용료  3,500,000원×12회  </t>
  </si>
  <si>
    <t>취사가스사용료  400,000원×12회</t>
  </si>
  <si>
    <t>▫ 캐시백 포인트 등  30,000원×12회</t>
  </si>
  <si>
    <t>운영충당적립금 4,000,000원×12월</t>
  </si>
  <si>
    <t>시설환경개선 준비금 1,000,000원×12월</t>
  </si>
  <si>
    <t>처우개선비  100,000원×42명×12월</t>
  </si>
  <si>
    <t>생일자 상품권 지급  30,000원×62명</t>
  </si>
  <si>
    <t>협회비(중앙회,전노협)  250,000원×12회</t>
  </si>
  <si>
    <t>생활관침대 전동전환장치 구입  200,000원×10대</t>
  </si>
  <si>
    <t>급여  87,131,640원×12월</t>
  </si>
  <si>
    <t>시간외수당  11,974,290원×12월</t>
  </si>
  <si>
    <t>직책수당  2,150,000원×12월</t>
  </si>
  <si>
    <t>퇴직금 및 퇴직적립금(DC형)  9,400,000원×12월</t>
  </si>
  <si>
    <t>국민연금  1,369,711,160원×4.5%</t>
  </si>
  <si>
    <t>건강보험 1,369,711,160원×3.06%</t>
  </si>
  <si>
    <t>산재보험   1,369,711,160원×1%</t>
  </si>
  <si>
    <t>장기요양보험 41,914,000원×6.55%</t>
  </si>
  <si>
    <t>고용보험  1,369,711,160원×0.45%</t>
  </si>
  <si>
    <t>작업치료도구 및 소규모집기구입비  500,000원×12월</t>
  </si>
  <si>
    <t>기타 소모품 구입  100,000원×12월</t>
  </si>
  <si>
    <t>종사자 피복비  50,000원×62명</t>
  </si>
  <si>
    <t>종사자 독감예방접종  10,000원×62명</t>
  </si>
  <si>
    <t>물품수선 및 수리비 500,000원×12월</t>
  </si>
  <si>
    <t>인터넷사용요금  130,000원×12월</t>
  </si>
  <si>
    <t>기타 공공요금(신문 등)  100,000원×12월</t>
  </si>
  <si>
    <t>기저귀 및 물티슈  3,000,000원×12월</t>
  </si>
  <si>
    <t>침대시트 및 기타용품  300,000원×12월</t>
  </si>
  <si>
    <t>직원교육 및 강사 사례비  300,000원×12회</t>
  </si>
  <si>
    <t>프로그램사업비</t>
  </si>
  <si>
    <t>프로그램운영비</t>
  </si>
  <si>
    <t xml:space="preserve">  ▫ 프로그램운영비</t>
  </si>
  <si>
    <t>원예(특화)프로그램  100,000원×12회</t>
  </si>
  <si>
    <t>생활관 내,외부 시설비  1,000,000원×12월</t>
  </si>
  <si>
    <t xml:space="preserve">기타 협회비(사회복지협의회) </t>
  </si>
  <si>
    <t>쓰레기봉투 및 세제  1,000,000원×12월</t>
  </si>
  <si>
    <t>소모품구입  1,200,000원×12월</t>
  </si>
  <si>
    <t>목욕보조용품(바디워시,바디로션등) 구입  300,000원×12회</t>
  </si>
  <si>
    <t>어르신 생활용품구입  200,000원×12월</t>
  </si>
  <si>
    <t>△5%</t>
  </si>
  <si>
    <t>퇴직금 및 퇴직적립금</t>
  </si>
  <si>
    <t>사회보험부담금</t>
  </si>
  <si>
    <t>예비비 및 기타</t>
  </si>
  <si>
    <t>입소자부담금수입</t>
  </si>
  <si>
    <t>현수막 및 포스터, 리플렛 제작  300,000원×12회</t>
  </si>
  <si>
    <t xml:space="preserve"> ▫ 장기요양급여수입(99명) </t>
  </si>
  <si>
    <t>소독방재(세스코)  350,000원×12월</t>
  </si>
  <si>
    <t>CCTV(캡스)임대료  550,000원×12월</t>
  </si>
  <si>
    <t>승강기정기점검  270,000원×12월</t>
  </si>
  <si>
    <t>비데 및 공기청청기 렌탈료  300,000원×12월</t>
  </si>
  <si>
    <t>노무관리수수료  260,000원×12월</t>
  </si>
  <si>
    <t>복합기 렌탈료  200,000원×12월</t>
  </si>
  <si>
    <t>정수기 렌탈료  200,000원×12월</t>
  </si>
  <si>
    <t>엔젤시스템정기사용료  150,000원×12월</t>
  </si>
  <si>
    <t>시설장, 종사자 연수 및 보수교육, 출장  900,000원×12월</t>
  </si>
  <si>
    <t>소방점검관리(삼성방재)  200,000원×12월</t>
  </si>
  <si>
    <t>생신잔치프로그램  300,000원×12회</t>
  </si>
  <si>
    <t xml:space="preserve">치매프로그램  100,000원×12회 </t>
  </si>
  <si>
    <t>기정예산(A)</t>
  </si>
  <si>
    <t xml:space="preserve"> ▫ 직원 식대 수입  1,500,000원×12월</t>
  </si>
  <si>
    <t>직원식대  1,500,000원×12월</t>
  </si>
  <si>
    <t>생활관가구 및 비품구입  700,000원×12회</t>
  </si>
  <si>
    <t>△12,000</t>
  </si>
  <si>
    <t>△3,055</t>
  </si>
  <si>
    <t>△0.2%</t>
  </si>
  <si>
    <t>명절상여금  10,000,000원×02회</t>
  </si>
  <si>
    <t>△22%</t>
  </si>
  <si>
    <t>추경예산(B)</t>
  </si>
  <si>
    <t>입소어르신 주부식 구입대금</t>
  </si>
  <si>
    <t>입소어르신 간식 구입대금</t>
  </si>
  <si>
    <t>△10,703</t>
  </si>
  <si>
    <t>△71%</t>
  </si>
  <si>
    <t>입소자 장례관련 경비 400,000원×12월</t>
  </si>
  <si>
    <t>퇴직적립금(DB형)부족분  87,000,000원×01회</t>
  </si>
  <si>
    <t>퇴직적립금(DB형)시설부담금 8,944,860원×01회</t>
  </si>
  <si>
    <t>회식비  15,000원×62명×02회</t>
  </si>
  <si>
    <t>종사자화합대회  30,000원×62명×02회</t>
  </si>
  <si>
    <t>송년회  35,000원×120명×01회</t>
  </si>
  <si>
    <t>중간관리자 정책세미나  2,000,000원×02회</t>
  </si>
  <si>
    <t>우수종사자 해외연수  600,000원×4명×01회</t>
  </si>
  <si>
    <t>동아리활동지원  100,000원×4팀×04회</t>
  </si>
  <si>
    <t>우수사원시상(상품권)  50,000원×4명×04회</t>
  </si>
  <si>
    <t>야간근무자 특수건강검진  40,000원×40명×01회</t>
  </si>
  <si>
    <t>운영위원회 회의  60,000원×10명×04회</t>
  </si>
  <si>
    <t>노사협의회 회의  20,000원×6명×04회</t>
  </si>
  <si>
    <t>보호자회의  5,000원×15명×02회</t>
  </si>
  <si>
    <t>기타회의 5,000원×10명×06회</t>
  </si>
  <si>
    <t>물탱크청소  400,000원×02회</t>
  </si>
  <si>
    <t>정화조청소  800,000원×02회</t>
  </si>
  <si>
    <t>전기설비정기검사  1,000,000원×01회</t>
  </si>
  <si>
    <t>실내공기질측정  1,300,000원×01회</t>
  </si>
  <si>
    <t>홈페이지유지관리  1,000,000원×01회</t>
  </si>
  <si>
    <t>환경개선부담금  150,000원×02회</t>
  </si>
  <si>
    <t>전문인 및 영업배상책임보험  9,000,000원×01회</t>
  </si>
  <si>
    <t>화재보험  400,000원×01회</t>
  </si>
  <si>
    <t>자동차보험료  900,000원×3대×01회</t>
  </si>
  <si>
    <t>신원보증보험료  250,000원×3명×01회</t>
  </si>
  <si>
    <t>자동차세  250,000원×3대×02회</t>
  </si>
  <si>
    <t>차량소모품교환  100,000원×3대×06회</t>
  </si>
  <si>
    <t>차량고장수리  150,000원×3대×06회</t>
  </si>
  <si>
    <t>차량정기검사  50,000원×2대×01회</t>
  </si>
  <si>
    <t>각종행사 기념품구입  7,000,000원×01회</t>
  </si>
  <si>
    <t>소식지 제작비 400,000원×04회</t>
  </si>
  <si>
    <t>후원자의 밤 행사  5,000,000원×01회</t>
  </si>
  <si>
    <t>노후컴퓨터 본체 및 모니터교체  1,000,000원×06대</t>
  </si>
  <si>
    <t>사무용비품구입  1,000,000원×04회</t>
  </si>
  <si>
    <t>의료기기구입  500,000원×04회</t>
  </si>
  <si>
    <t>생활관전동침대구입 700,000원×03대</t>
  </si>
  <si>
    <t>특별위로금(기초수급자)  40,000원×25명×02회</t>
  </si>
  <si>
    <t>월동대책비(기초수급자)  43,000원×25명×01회</t>
  </si>
  <si>
    <t xml:space="preserve">어르신피복 구입  2,000,000원×02회 </t>
  </si>
  <si>
    <t>구충제  1,000원×100명×01회</t>
  </si>
  <si>
    <t>건강검진  20,000원×75명×01회</t>
  </si>
  <si>
    <t>의료용품 및 의약품구입  500,000원×04회</t>
  </si>
  <si>
    <t>명절행사(설, 추석)   1,300,000원×02회</t>
  </si>
  <si>
    <t>어버이날행사  2,500,000원×01회</t>
  </si>
  <si>
    <t>개원 및 성탄절행사  2,500,000원×01회</t>
  </si>
  <si>
    <t>야외요리활동 프로그램 500,000원×02회</t>
  </si>
  <si>
    <t>지역행사참여(반딧불축제)  300,000원×01회</t>
  </si>
  <si>
    <t xml:space="preserve">여가프로그램  100,000원×04회 </t>
  </si>
  <si>
    <t>법인회계전출금(진명복지재단) 2,000,000원×06월</t>
  </si>
  <si>
    <t>법인회계전출금(한국장로교복지재단)  30,000,000원×01회</t>
  </si>
  <si>
    <t>연말정산환급금  7,000,000원×01회</t>
  </si>
  <si>
    <t>장애인고용부담금  300,000원×01회</t>
  </si>
  <si>
    <t>특별위로금(명절)  35,000×25명×02회</t>
  </si>
  <si>
    <t>월동대책비  34,722원×25명×01회</t>
  </si>
  <si>
    <t>기초수급자 등급외자  50,700원×31일×1명×06월</t>
  </si>
  <si>
    <t>기초수급자 등급외자  50,700원×30일×1명×06월</t>
  </si>
  <si>
    <t>1등급 일반  59,250원×30일×20%×4명×06월</t>
  </si>
  <si>
    <t>1등급 일반  59,250원×31일×20%×4명×06월</t>
  </si>
  <si>
    <t>2등급 일반  54,980원×30일×20%×26명×06월</t>
  </si>
  <si>
    <t>2등급 일반  54,980원×31일×20%×26명×06월</t>
  </si>
  <si>
    <t>3등급 일반  50,700원×30일×20%×45명×06월</t>
  </si>
  <si>
    <t>3등급 일반  50,700원×31일×20%×45명×06월</t>
  </si>
  <si>
    <t>90,000원×75명×06월</t>
  </si>
  <si>
    <t>93,000원×75명×06월</t>
  </si>
  <si>
    <t>기타예금이자수입  150,000원×02회</t>
  </si>
  <si>
    <t xml:space="preserve"> ▫ 연말정산환급금  7,000,000원×01회</t>
  </si>
  <si>
    <t>진료약제비  2,030,400×12월</t>
  </si>
  <si>
    <t>기타 잡지출  1,000,000원×01회</t>
  </si>
  <si>
    <t>(단위:천원)</t>
  </si>
  <si>
    <t xml:space="preserve">▫ 시설내 사고 관련 보험사측 지급금 6,500,000원×02회  </t>
  </si>
  <si>
    <t>1등급 기초  59,250원×31일×4명×6월×4%</t>
  </si>
  <si>
    <t>1등급 기초  59,250원×30일×4명×6월×4%</t>
  </si>
  <si>
    <t>1등급 일반  59,250원×31일×80%×4명×6월×4%</t>
  </si>
  <si>
    <t>1등급 일반  59,250원×30일×80%×4명×6월×4%</t>
  </si>
  <si>
    <t>2등급 기초  54,980원×31일×9명×6월×4%</t>
  </si>
  <si>
    <t>2등급 기초  54,980원×30일×9명×6월×4%</t>
  </si>
  <si>
    <t>2등급 일반  54,980원×31일×80%×26명×6월×4%</t>
  </si>
  <si>
    <t>2등급 일반  54,980원×30일×80%×26명×6월×4%</t>
  </si>
  <si>
    <t>3,4,5등급 기초  50,700원×31일×11명×6월×4%</t>
  </si>
  <si>
    <t>3,4,5등급 기초  50,700원×30일×11명×6월×4%</t>
  </si>
  <si>
    <t>3,4,5등급 일반  50,700원×31일×80%×45명×6월×4%</t>
  </si>
  <si>
    <t>3,4,5등급 일반  50,700원×30일×80%×45명×6월×4%</t>
  </si>
  <si>
    <t>사고관련의료비 시설측 부담금  6,500,000원×02회</t>
  </si>
  <si>
    <t>△16,872</t>
  </si>
  <si>
    <t>△9%</t>
  </si>
  <si>
    <t>촉탁의 진료비 169,600원×12회</t>
  </si>
  <si>
    <t>▫ 촉탁의 진료비 169,600원×12회</t>
  </si>
  <si>
    <t>▫ 진료약제비  2,030,400원×12월</t>
  </si>
  <si>
    <t xml:space="preserve">  목   차</t>
  </si>
  <si>
    <t xml:space="preserve">2017년도 평화요양원 세입·세출 예산(안) </t>
  </si>
  <si>
    <t>O</t>
  </si>
  <si>
    <t xml:space="preserve"> 2017년도 예산서 총칙 ------------------------------------------------------------------------</t>
  </si>
  <si>
    <t xml:space="preserve"> 2017년도 세입·세출 총괄표 -------------------------------------------------------------------</t>
  </si>
  <si>
    <t xml:space="preserve"> 2017년도 세입(안) ----------------------------------------------------------------------------</t>
  </si>
  <si>
    <t xml:space="preserve"> 2017년도 세출(안) ----------------------------------------------------------------------------</t>
  </si>
  <si>
    <t>2017년도 예산(안) 총칙</t>
  </si>
  <si>
    <t>예산(안)  총칙</t>
  </si>
  <si>
    <t xml:space="preserve">  제 1조 (예산의 규모) 평화요양원의 2017년도 총 세입액은 2,488,914,000원이며, 총세출액은 2,488,914,000원이다.</t>
  </si>
  <si>
    <t xml:space="preserve">  제 2조 (예산의 내역) 세입·세출의 명세는 세입·세출예산서와 같다.</t>
  </si>
  <si>
    <t xml:space="preserve">             1. 세입의 주요 재원은 다음과 같다(관 또는 항 단위).</t>
  </si>
  <si>
    <t>1) 입소자부담금수입</t>
  </si>
  <si>
    <t>원</t>
  </si>
  <si>
    <t>2) 보조금수입</t>
  </si>
  <si>
    <t>3) 요양급여수입</t>
  </si>
  <si>
    <t>4) 후원금수입</t>
  </si>
  <si>
    <t>5) 전입금</t>
  </si>
  <si>
    <t>6) 이월금</t>
  </si>
  <si>
    <t>7) 잡수입</t>
  </si>
  <si>
    <t xml:space="preserve">             2. 세출의 내용은 다음과 같다(관 또는 항 단위).</t>
  </si>
  <si>
    <t xml:space="preserve">                1) </t>
  </si>
  <si>
    <t>1) 사무비</t>
  </si>
  <si>
    <t xml:space="preserve">2) 재산조성비 </t>
  </si>
  <si>
    <t xml:space="preserve">                3) </t>
  </si>
  <si>
    <t>3) 사업비</t>
  </si>
  <si>
    <t>4) 전출금</t>
  </si>
  <si>
    <t xml:space="preserve">                5) </t>
  </si>
  <si>
    <t>5) 잡지출</t>
  </si>
  <si>
    <t>6) 예비비 및 기타</t>
  </si>
  <si>
    <t>7) 적립금</t>
  </si>
  <si>
    <t>8) 준비금</t>
  </si>
  <si>
    <t xml:space="preserve"> 제 3조 (추가경정예산)추경예산은 이사회의 의결을 거쳐 확정한 후 7일이내에 무주군수에게 제출토록 한다.</t>
  </si>
  <si>
    <t xml:space="preserve"> 제 4조 (예비비)예측할 수 없는 예산외의 지출을 충당하기 위하여 본 예산의 1% 이상을 예비비로 계상한다.</t>
  </si>
  <si>
    <t xml:space="preserve"> 제 5조 (예산의 전용) 세출경비의 조정이 필요할 경우에는 (사회복지법인 재무회계규칙 제16조에 의거하여) 예산을 전용</t>
  </si>
  <si>
    <t xml:space="preserve">            할 수 있다.</t>
  </si>
  <si>
    <t xml:space="preserve"> 제 6조 (예산의 집행) 예산은 사회복지법인 재무·회계규칙의 관련규정을 준수하여 집행한다.</t>
  </si>
  <si>
    <t xml:space="preserve"> 제 7조 기타 필요한 사항</t>
  </si>
  <si>
    <t xml:space="preserve">2017년도 평화요양원 제1차 추경예산(안) </t>
  </si>
  <si>
    <t>1. 세입 ·세출 총괄표</t>
  </si>
  <si>
    <t>세입</t>
  </si>
  <si>
    <t>세출</t>
  </si>
  <si>
    <t>관</t>
  </si>
  <si>
    <t>항</t>
  </si>
  <si>
    <t>2017년</t>
  </si>
  <si>
    <t>증감(B)-(A)</t>
  </si>
  <si>
    <t>기정예산(A)</t>
  </si>
  <si>
    <t>추경예산(B)</t>
  </si>
  <si>
    <t>액수</t>
  </si>
  <si>
    <t>비율(%)</t>
  </si>
  <si>
    <t>총 계</t>
  </si>
  <si>
    <t>입소자부담금수입</t>
  </si>
  <si>
    <t>사무비</t>
  </si>
  <si>
    <t>△3,055</t>
  </si>
  <si>
    <t>△0.2%</t>
  </si>
  <si>
    <t>입소비용수입</t>
  </si>
  <si>
    <t>인건비</t>
  </si>
  <si>
    <t>보조금수입</t>
  </si>
  <si>
    <t>업무추진비</t>
  </si>
  <si>
    <t>운영비</t>
  </si>
  <si>
    <t>△12,000</t>
  </si>
  <si>
    <t>△5%</t>
  </si>
  <si>
    <t>후원금수입</t>
  </si>
  <si>
    <t>재산조성비</t>
  </si>
  <si>
    <t>시설비</t>
  </si>
  <si>
    <t>요양급여수입</t>
  </si>
  <si>
    <t>사업비</t>
  </si>
  <si>
    <t>전입금</t>
  </si>
  <si>
    <t>프로그램사업비</t>
  </si>
  <si>
    <t>법인전입금</t>
  </si>
  <si>
    <t>전출금</t>
  </si>
  <si>
    <t>이월금</t>
  </si>
  <si>
    <t>△10,703</t>
  </si>
  <si>
    <t>△71%</t>
  </si>
  <si>
    <t>잡지출</t>
  </si>
  <si>
    <t>잡수입</t>
  </si>
  <si>
    <t>예비비 및 기타</t>
  </si>
  <si>
    <t>적립금</t>
  </si>
  <si>
    <t>운영충당적립금</t>
  </si>
  <si>
    <t>준비금</t>
  </si>
  <si>
    <t>환경개선준비금</t>
  </si>
  <si>
    <t xml:space="preserve">2017년도 세입(안) </t>
  </si>
  <si>
    <t xml:space="preserve">2017년도 세출(안) </t>
  </si>
  <si>
    <r>
      <t xml:space="preserve">▫ </t>
    </r>
    <r>
      <rPr>
        <sz val="10.8"/>
        <rFont val="HY신명조"/>
        <family val="1"/>
      </rPr>
      <t>기본급</t>
    </r>
  </si>
  <si>
    <t>2017년 1차 추경예산 산출내역 (단위: 원)</t>
  </si>
  <si>
    <t>2017년도 세입ㆍ세출 추경(안) 총괄표</t>
  </si>
  <si>
    <t xml:space="preserve">  2017년도 제1차 추가경정</t>
  </si>
  <si>
    <t xml:space="preserve">평화요양원 세입∙세출예산(안) </t>
  </si>
  <si>
    <t>(노인장기요양사업)</t>
  </si>
  <si>
    <t>사회복지법인 진명복지재단</t>
  </si>
</sst>
</file>

<file path=xl/styles.xml><?xml version="1.0" encoding="utf-8"?>
<styleSheet xmlns="http://schemas.openxmlformats.org/spreadsheetml/2006/main">
  <numFmts count="3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00\-000"/>
    <numFmt numFmtId="179" formatCode="#,##0_ ;[Red]\-#,##0\ "/>
    <numFmt numFmtId="180" formatCode="0_ ;[Red]\-0\ "/>
    <numFmt numFmtId="181" formatCode="0_ "/>
    <numFmt numFmtId="182" formatCode="mm&quot;월&quot;\ dd&quot;일&quot;"/>
    <numFmt numFmtId="183" formatCode="#,##0;[Red]#,##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2]AM/PM\ h:mm:ss"/>
    <numFmt numFmtId="189" formatCode="0_);[Red]\(0\)"/>
    <numFmt numFmtId="190" formatCode="_-* #,##0.0_-;\-* #,##0.0_-;_-* &quot;-&quot;_-;_-@_-"/>
    <numFmt numFmtId="191" formatCode="_-* #,##0.00_-;\-* #,##0.00_-;_-* &quot;-&quot;_-;_-@_-"/>
    <numFmt numFmtId="192" formatCode="_-* #,##0.000_-;\-* #,##0.000_-;_-* &quot;-&quot;_-;_-@_-"/>
    <numFmt numFmtId="193" formatCode="_-* #,##0.0000_-;\-* #,##0.0000_-;_-* &quot;-&quot;_-;_-@_-"/>
    <numFmt numFmtId="194" formatCode="[$-412]yyyy&quot;년&quot;\ m&quot;월&quot;\ d&quot;일&quot;\ dddd"/>
    <numFmt numFmtId="195" formatCode="_-* #,##0.000_-;\-* #,##0.000_-;_-* &quot;-&quot;???_-;_-@_-"/>
  </numFmts>
  <fonts count="53">
    <font>
      <sz val="11"/>
      <name val="돋움"/>
      <family val="3"/>
    </font>
    <font>
      <sz val="11"/>
      <color indexed="8"/>
      <name val="맑은 고딕"/>
      <family val="3"/>
    </font>
    <font>
      <sz val="8"/>
      <name val="돋움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name val="HY신명조"/>
      <family val="1"/>
    </font>
    <font>
      <sz val="9"/>
      <name val="HY신명조"/>
      <family val="1"/>
    </font>
    <font>
      <sz val="10"/>
      <name val="HY신명조"/>
      <family val="1"/>
    </font>
    <font>
      <sz val="9"/>
      <color indexed="8"/>
      <name val="HY신명조"/>
      <family val="1"/>
    </font>
    <font>
      <b/>
      <sz val="11"/>
      <name val="돋움"/>
      <family val="3"/>
    </font>
    <font>
      <sz val="10"/>
      <name val="돋움"/>
      <family val="3"/>
    </font>
    <font>
      <b/>
      <sz val="14"/>
      <name val="HY신명조"/>
      <family val="1"/>
    </font>
    <font>
      <b/>
      <sz val="20"/>
      <name val="HY신명조"/>
      <family val="1"/>
    </font>
    <font>
      <b/>
      <sz val="24"/>
      <name val="HY신명조"/>
      <family val="1"/>
    </font>
    <font>
      <b/>
      <sz val="16"/>
      <name val="HY신명조"/>
      <family val="1"/>
    </font>
    <font>
      <b/>
      <sz val="18"/>
      <name val="HY신명조"/>
      <family val="1"/>
    </font>
    <font>
      <sz val="14"/>
      <name val="HY신명조"/>
      <family val="1"/>
    </font>
    <font>
      <b/>
      <sz val="40"/>
      <name val="HY신명조"/>
      <family val="1"/>
    </font>
    <font>
      <sz val="22"/>
      <name val="HY신명조"/>
      <family val="1"/>
    </font>
    <font>
      <sz val="12"/>
      <name val="HY신명조"/>
      <family val="1"/>
    </font>
    <font>
      <b/>
      <sz val="11"/>
      <name val="HY신명조"/>
      <family val="1"/>
    </font>
    <font>
      <sz val="10.8"/>
      <name val="HY신명조"/>
      <family val="1"/>
    </font>
    <font>
      <sz val="8"/>
      <color indexed="8"/>
      <name val="HY신명조"/>
      <family val="1"/>
    </font>
    <font>
      <sz val="8"/>
      <name val="HY신명조"/>
      <family val="1"/>
    </font>
    <font>
      <b/>
      <sz val="32"/>
      <name val="HY신명조"/>
      <family val="1"/>
    </font>
    <font>
      <sz val="32"/>
      <name val="HY신명조"/>
      <family val="1"/>
    </font>
    <font>
      <sz val="26"/>
      <name val="HY신명조"/>
      <family val="1"/>
    </font>
    <font>
      <u val="single"/>
      <sz val="11"/>
      <color indexed="20"/>
      <name val="돋움"/>
      <family val="3"/>
    </font>
    <font>
      <u val="single"/>
      <sz val="11"/>
      <color indexed="12"/>
      <name val="돋움"/>
      <family val="3"/>
    </font>
    <font>
      <sz val="11"/>
      <name val="맑은 고딕"/>
      <family val="3"/>
    </font>
    <font>
      <sz val="9"/>
      <color indexed="8"/>
      <name val="맑은 고딕"/>
      <family val="3"/>
    </font>
    <font>
      <sz val="9"/>
      <name val="맑은 고딕"/>
      <family val="3"/>
    </font>
    <font>
      <u val="single"/>
      <sz val="11"/>
      <color theme="11"/>
      <name val="돋움"/>
      <family val="3"/>
    </font>
    <font>
      <sz val="11"/>
      <color theme="1"/>
      <name val="Calibri"/>
      <family val="3"/>
    </font>
    <font>
      <u val="single"/>
      <sz val="11"/>
      <color theme="10"/>
      <name val="돋움"/>
      <family val="3"/>
    </font>
    <font>
      <sz val="11"/>
      <name val="Cambria"/>
      <family val="3"/>
    </font>
    <font>
      <sz val="9"/>
      <color indexed="8"/>
      <name val="Cambria"/>
      <family val="3"/>
    </font>
    <font>
      <sz val="9"/>
      <name val="Cambria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/>
    </border>
  </borders>
  <cellStyleXfs count="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7" borderId="1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4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9" fillId="0" borderId="0" applyNumberFormat="0" applyFill="0" applyBorder="0" applyAlignment="0" applyProtection="0"/>
  </cellStyleXfs>
  <cellXfs count="366">
    <xf numFmtId="0" fontId="0" fillId="0" borderId="0" xfId="0" applyAlignment="1">
      <alignment/>
    </xf>
    <xf numFmtId="0" fontId="23" fillId="0" borderId="0" xfId="0" applyFont="1" applyFill="1" applyAlignment="1">
      <alignment horizontal="right" shrinkToFit="1"/>
    </xf>
    <xf numFmtId="0" fontId="21" fillId="0" borderId="0" xfId="0" applyFont="1" applyFill="1" applyAlignment="1">
      <alignment horizontal="right" shrinkToFit="1"/>
    </xf>
    <xf numFmtId="41" fontId="21" fillId="0" borderId="0" xfId="0" applyNumberFormat="1" applyFont="1" applyFill="1" applyAlignment="1">
      <alignment horizontal="right" shrinkToFit="1"/>
    </xf>
    <xf numFmtId="0" fontId="3" fillId="0" borderId="0" xfId="0" applyFont="1" applyFill="1" applyAlignment="1">
      <alignment vertical="center"/>
    </xf>
    <xf numFmtId="0" fontId="21" fillId="0" borderId="0" xfId="0" applyFont="1" applyFill="1" applyAlignment="1">
      <alignment/>
    </xf>
    <xf numFmtId="0" fontId="0" fillId="0" borderId="0" xfId="74">
      <alignment vertical="center"/>
      <protection/>
    </xf>
    <xf numFmtId="0" fontId="24" fillId="0" borderId="0" xfId="74" applyFont="1">
      <alignment vertical="center"/>
      <protection/>
    </xf>
    <xf numFmtId="0" fontId="0" fillId="0" borderId="0" xfId="74" applyFont="1">
      <alignment vertical="center"/>
      <protection/>
    </xf>
    <xf numFmtId="0" fontId="20" fillId="0" borderId="0" xfId="0" applyFont="1" applyFill="1" applyAlignment="1">
      <alignment/>
    </xf>
    <xf numFmtId="41" fontId="21" fillId="0" borderId="0" xfId="0" applyNumberFormat="1" applyFont="1" applyFill="1" applyAlignment="1">
      <alignment/>
    </xf>
    <xf numFmtId="0" fontId="23" fillId="0" borderId="0" xfId="0" applyFont="1" applyFill="1" applyAlignment="1">
      <alignment horizontal="left" shrinkToFit="1"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1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10" xfId="0" applyFont="1" applyFill="1" applyBorder="1" applyAlignment="1">
      <alignment/>
    </xf>
    <xf numFmtId="0" fontId="21" fillId="0" borderId="0" xfId="41" applyFont="1" applyFill="1" applyAlignment="1">
      <alignment/>
    </xf>
    <xf numFmtId="0" fontId="22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21" fillId="24" borderId="0" xfId="0" applyFont="1" applyFill="1" applyAlignment="1">
      <alignment horizontal="center"/>
    </xf>
    <xf numFmtId="0" fontId="21" fillId="24" borderId="0" xfId="41" applyFont="1" applyFill="1" applyAlignment="1">
      <alignment/>
    </xf>
    <xf numFmtId="0" fontId="21" fillId="24" borderId="0" xfId="0" applyFont="1" applyFill="1" applyAlignment="1">
      <alignment/>
    </xf>
    <xf numFmtId="0" fontId="21" fillId="24" borderId="0" xfId="0" applyFont="1" applyFill="1" applyAlignment="1">
      <alignment horizontal="right" shrinkToFit="1"/>
    </xf>
    <xf numFmtId="0" fontId="3" fillId="24" borderId="0" xfId="0" applyFont="1" applyFill="1" applyAlignment="1">
      <alignment vertical="center"/>
    </xf>
    <xf numFmtId="0" fontId="23" fillId="24" borderId="0" xfId="0" applyFont="1" applyFill="1" applyAlignment="1">
      <alignment horizontal="right" shrinkToFit="1"/>
    </xf>
    <xf numFmtId="41" fontId="0" fillId="0" borderId="0" xfId="50" applyFont="1" applyFill="1" applyAlignment="1">
      <alignment/>
    </xf>
    <xf numFmtId="41" fontId="0" fillId="0" borderId="0" xfId="50" applyFont="1" applyFill="1" applyAlignment="1">
      <alignment/>
    </xf>
    <xf numFmtId="41" fontId="3" fillId="0" borderId="0" xfId="50" applyFont="1" applyFill="1" applyAlignment="1">
      <alignment vertical="center"/>
    </xf>
    <xf numFmtId="41" fontId="3" fillId="0" borderId="0" xfId="50" applyFont="1" applyFill="1" applyAlignment="1">
      <alignment horizontal="right" vertical="center"/>
    </xf>
    <xf numFmtId="41" fontId="3" fillId="0" borderId="0" xfId="50" applyFont="1" applyFill="1" applyAlignment="1">
      <alignment/>
    </xf>
    <xf numFmtId="9" fontId="22" fillId="0" borderId="0" xfId="0" applyNumberFormat="1" applyFont="1" applyFill="1" applyAlignment="1">
      <alignment vertical="center"/>
    </xf>
    <xf numFmtId="9" fontId="21" fillId="0" borderId="0" xfId="0" applyNumberFormat="1" applyFont="1" applyFill="1" applyAlignment="1">
      <alignment vertical="center"/>
    </xf>
    <xf numFmtId="41" fontId="22" fillId="0" borderId="0" xfId="50" applyFont="1" applyFill="1" applyAlignment="1">
      <alignment vertical="center"/>
    </xf>
    <xf numFmtId="189" fontId="22" fillId="0" borderId="0" xfId="0" applyNumberFormat="1" applyFont="1" applyFill="1" applyAlignment="1">
      <alignment vertical="center"/>
    </xf>
    <xf numFmtId="189" fontId="21" fillId="0" borderId="0" xfId="0" applyNumberFormat="1" applyFont="1" applyFill="1" applyAlignment="1">
      <alignment vertical="center"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horizontal="left" shrinkToFit="1"/>
    </xf>
    <xf numFmtId="3" fontId="50" fillId="0" borderId="0" xfId="0" applyNumberFormat="1" applyFont="1" applyFill="1" applyAlignment="1">
      <alignment/>
    </xf>
    <xf numFmtId="0" fontId="50" fillId="0" borderId="0" xfId="0" applyFont="1" applyFill="1" applyAlignment="1">
      <alignment horizontal="center"/>
    </xf>
    <xf numFmtId="0" fontId="50" fillId="24" borderId="0" xfId="0" applyFont="1" applyFill="1" applyAlignment="1">
      <alignment/>
    </xf>
    <xf numFmtId="0" fontId="50" fillId="24" borderId="0" xfId="0" applyFont="1" applyFill="1" applyAlignment="1">
      <alignment horizontal="center"/>
    </xf>
    <xf numFmtId="3" fontId="50" fillId="24" borderId="0" xfId="0" applyNumberFormat="1" applyFont="1" applyFill="1" applyAlignment="1">
      <alignment/>
    </xf>
    <xf numFmtId="0" fontId="51" fillId="24" borderId="0" xfId="0" applyFont="1" applyFill="1" applyAlignment="1">
      <alignment horizontal="left" shrinkToFit="1"/>
    </xf>
    <xf numFmtId="41" fontId="52" fillId="0" borderId="11" xfId="50" applyFont="1" applyBorder="1" applyAlignment="1">
      <alignment horizontal="right" vertical="center" wrapText="1" shrinkToFit="1"/>
    </xf>
    <xf numFmtId="41" fontId="52" fillId="0" borderId="12" xfId="50" applyFont="1" applyBorder="1" applyAlignment="1">
      <alignment horizontal="right" vertical="center" wrapText="1" shrinkToFit="1"/>
    </xf>
    <xf numFmtId="9" fontId="21" fillId="0" borderId="0" xfId="45" applyFont="1" applyFill="1" applyBorder="1" applyAlignment="1">
      <alignment horizontal="right" vertical="center" shrinkToFit="1"/>
    </xf>
    <xf numFmtId="9" fontId="21" fillId="0" borderId="13" xfId="45" applyFont="1" applyFill="1" applyBorder="1" applyAlignment="1">
      <alignment horizontal="right" vertical="center" shrinkToFit="1"/>
    </xf>
    <xf numFmtId="9" fontId="21" fillId="0" borderId="14" xfId="45" applyFont="1" applyFill="1" applyBorder="1" applyAlignment="1">
      <alignment horizontal="right" vertical="center" shrinkToFit="1"/>
    </xf>
    <xf numFmtId="0" fontId="0" fillId="0" borderId="14" xfId="0" applyFill="1" applyBorder="1" applyAlignment="1">
      <alignment/>
    </xf>
    <xf numFmtId="0" fontId="25" fillId="0" borderId="0" xfId="0" applyFont="1" applyFill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21" fillId="0" borderId="15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0" fontId="21" fillId="0" borderId="17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21" fillId="0" borderId="18" xfId="0" applyFont="1" applyFill="1" applyBorder="1" applyAlignment="1">
      <alignment/>
    </xf>
    <xf numFmtId="9" fontId="20" fillId="0" borderId="0" xfId="45" applyFont="1" applyFill="1" applyBorder="1" applyAlignment="1">
      <alignment horizontal="right" vertical="center" shrinkToFit="1"/>
    </xf>
    <xf numFmtId="0" fontId="26" fillId="0" borderId="19" xfId="74" applyFont="1" applyBorder="1">
      <alignment vertical="center"/>
      <protection/>
    </xf>
    <xf numFmtId="0" fontId="20" fillId="0" borderId="19" xfId="74" applyFont="1" applyBorder="1">
      <alignment vertical="center"/>
      <protection/>
    </xf>
    <xf numFmtId="0" fontId="20" fillId="0" borderId="20" xfId="74" applyFont="1" applyBorder="1">
      <alignment vertical="center"/>
      <protection/>
    </xf>
    <xf numFmtId="0" fontId="20" fillId="0" borderId="21" xfId="74" applyFont="1" applyBorder="1">
      <alignment vertical="center"/>
      <protection/>
    </xf>
    <xf numFmtId="0" fontId="20" fillId="0" borderId="22" xfId="74" applyFont="1" applyBorder="1">
      <alignment vertical="center"/>
      <protection/>
    </xf>
    <xf numFmtId="0" fontId="20" fillId="0" borderId="0" xfId="74" applyFont="1">
      <alignment vertical="center"/>
      <protection/>
    </xf>
    <xf numFmtId="0" fontId="20" fillId="0" borderId="0" xfId="74" applyFont="1" applyBorder="1">
      <alignment vertical="center"/>
      <protection/>
    </xf>
    <xf numFmtId="0" fontId="0" fillId="0" borderId="15" xfId="74" applyBorder="1">
      <alignment vertical="center"/>
      <protection/>
    </xf>
    <xf numFmtId="0" fontId="26" fillId="0" borderId="0" xfId="0" applyFont="1" applyAlignment="1">
      <alignment/>
    </xf>
    <xf numFmtId="0" fontId="0" fillId="0" borderId="0" xfId="0" applyAlignment="1">
      <alignment vertical="center"/>
    </xf>
    <xf numFmtId="0" fontId="20" fillId="0" borderId="0" xfId="0" applyFont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/>
    </xf>
    <xf numFmtId="0" fontId="26" fillId="0" borderId="23" xfId="74" applyFont="1" applyBorder="1">
      <alignment vertical="center"/>
      <protection/>
    </xf>
    <xf numFmtId="0" fontId="20" fillId="0" borderId="24" xfId="74" applyFont="1" applyBorder="1">
      <alignment vertical="center"/>
      <protection/>
    </xf>
    <xf numFmtId="0" fontId="20" fillId="0" borderId="25" xfId="74" applyFont="1" applyBorder="1">
      <alignment vertical="center"/>
      <protection/>
    </xf>
    <xf numFmtId="0" fontId="20" fillId="0" borderId="26" xfId="74" applyFont="1" applyBorder="1">
      <alignment vertical="center"/>
      <protection/>
    </xf>
    <xf numFmtId="0" fontId="30" fillId="0" borderId="0" xfId="74" applyFont="1" applyBorder="1" applyAlignment="1">
      <alignment horizontal="center" vertical="center"/>
      <protection/>
    </xf>
    <xf numFmtId="0" fontId="30" fillId="0" borderId="25" xfId="74" applyFont="1" applyBorder="1" applyAlignment="1">
      <alignment horizontal="center" vertical="center"/>
      <protection/>
    </xf>
    <xf numFmtId="0" fontId="31" fillId="0" borderId="24" xfId="74" applyFont="1" applyBorder="1" applyAlignment="1">
      <alignment horizontal="right" vertical="center"/>
      <protection/>
    </xf>
    <xf numFmtId="0" fontId="31" fillId="0" borderId="0" xfId="74" applyFont="1" applyBorder="1" applyAlignment="1">
      <alignment horizontal="left" vertical="center"/>
      <protection/>
    </xf>
    <xf numFmtId="0" fontId="31" fillId="0" borderId="25" xfId="74" applyFont="1" applyBorder="1" applyAlignment="1">
      <alignment horizontal="left" vertical="center"/>
      <protection/>
    </xf>
    <xf numFmtId="0" fontId="20" fillId="0" borderId="24" xfId="0" applyFont="1" applyBorder="1" applyAlignment="1">
      <alignment/>
    </xf>
    <xf numFmtId="0" fontId="20" fillId="0" borderId="25" xfId="0" applyFont="1" applyBorder="1" applyAlignment="1">
      <alignment/>
    </xf>
    <xf numFmtId="0" fontId="34" fillId="0" borderId="24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4" fillId="0" borderId="25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41" fontId="34" fillId="0" borderId="0" xfId="50" applyFont="1" applyBorder="1" applyAlignment="1">
      <alignment horizontal="right" vertical="center" wrapText="1"/>
    </xf>
    <xf numFmtId="0" fontId="34" fillId="0" borderId="0" xfId="0" applyFont="1" applyBorder="1" applyAlignment="1">
      <alignment horizontal="left" vertical="center"/>
    </xf>
    <xf numFmtId="41" fontId="34" fillId="0" borderId="0" xfId="50" applyFont="1" applyBorder="1" applyAlignment="1">
      <alignment horizontal="right" vertical="center" wrapText="1" shrinkToFit="1"/>
    </xf>
    <xf numFmtId="41" fontId="34" fillId="0" borderId="0" xfId="50" applyFont="1" applyBorder="1" applyAlignment="1">
      <alignment horizontal="right" vertical="center"/>
    </xf>
    <xf numFmtId="3" fontId="34" fillId="0" borderId="0" xfId="0" applyNumberFormat="1" applyFont="1" applyFill="1" applyBorder="1" applyAlignment="1">
      <alignment vertical="center" shrinkToFit="1"/>
    </xf>
    <xf numFmtId="3" fontId="34" fillId="0" borderId="0" xfId="0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41" fontId="21" fillId="0" borderId="0" xfId="5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 vertical="center"/>
    </xf>
    <xf numFmtId="41" fontId="22" fillId="0" borderId="27" xfId="0" applyNumberFormat="1" applyFont="1" applyBorder="1" applyAlignment="1">
      <alignment horizontal="center" vertical="center" shrinkToFit="1"/>
    </xf>
    <xf numFmtId="0" fontId="22" fillId="0" borderId="28" xfId="41" applyFont="1" applyFill="1" applyBorder="1" applyAlignment="1">
      <alignment horizontal="center" vertical="center" shrinkToFit="1"/>
    </xf>
    <xf numFmtId="0" fontId="22" fillId="0" borderId="28" xfId="0" applyFont="1" applyFill="1" applyBorder="1" applyAlignment="1">
      <alignment horizontal="center" vertical="center" shrinkToFit="1"/>
    </xf>
    <xf numFmtId="41" fontId="22" fillId="24" borderId="14" xfId="0" applyNumberFormat="1" applyFont="1" applyFill="1" applyBorder="1" applyAlignment="1">
      <alignment horizontal="center" vertical="center"/>
    </xf>
    <xf numFmtId="41" fontId="22" fillId="24" borderId="14" xfId="0" applyNumberFormat="1" applyFont="1" applyFill="1" applyBorder="1" applyAlignment="1">
      <alignment horizontal="center" vertical="center" shrinkToFit="1"/>
    </xf>
    <xf numFmtId="41" fontId="22" fillId="0" borderId="14" xfId="0" applyNumberFormat="1" applyFont="1" applyFill="1" applyBorder="1" applyAlignment="1">
      <alignment horizontal="center" vertical="center" shrinkToFit="1"/>
    </xf>
    <xf numFmtId="3" fontId="22" fillId="24" borderId="14" xfId="0" applyNumberFormat="1" applyFont="1" applyFill="1" applyBorder="1" applyAlignment="1">
      <alignment horizontal="right" vertical="center" shrinkToFit="1"/>
    </xf>
    <xf numFmtId="3" fontId="22" fillId="24" borderId="27" xfId="46" applyNumberFormat="1" applyFont="1" applyFill="1" applyBorder="1" applyAlignment="1">
      <alignment vertical="center" shrinkToFit="1"/>
    </xf>
    <xf numFmtId="9" fontId="22" fillId="24" borderId="29" xfId="43" applyFont="1" applyFill="1" applyBorder="1" applyAlignment="1">
      <alignment vertical="center" shrinkToFit="1"/>
    </xf>
    <xf numFmtId="41" fontId="21" fillId="24" borderId="14" xfId="0" applyNumberFormat="1" applyFont="1" applyFill="1" applyBorder="1" applyAlignment="1">
      <alignment horizontal="center" vertical="center" shrinkToFit="1"/>
    </xf>
    <xf numFmtId="9" fontId="22" fillId="24" borderId="27" xfId="43" applyFont="1" applyFill="1" applyBorder="1" applyAlignment="1">
      <alignment vertical="center" shrinkToFit="1"/>
    </xf>
    <xf numFmtId="41" fontId="22" fillId="0" borderId="27" xfId="0" applyNumberFormat="1" applyFont="1" applyFill="1" applyBorder="1" applyAlignment="1">
      <alignment horizontal="center" vertical="center" shrinkToFit="1"/>
    </xf>
    <xf numFmtId="3" fontId="22" fillId="24" borderId="14" xfId="46" applyNumberFormat="1" applyFont="1" applyFill="1" applyBorder="1" applyAlignment="1">
      <alignment horizontal="right" vertical="center" shrinkToFit="1"/>
    </xf>
    <xf numFmtId="41" fontId="21" fillId="24" borderId="27" xfId="0" applyNumberFormat="1" applyFont="1" applyFill="1" applyBorder="1" applyAlignment="1">
      <alignment horizontal="center" vertical="center" shrinkToFit="1"/>
    </xf>
    <xf numFmtId="3" fontId="22" fillId="24" borderId="14" xfId="0" applyNumberFormat="1" applyFont="1" applyFill="1" applyBorder="1" applyAlignment="1">
      <alignment vertical="center" shrinkToFit="1"/>
    </xf>
    <xf numFmtId="3" fontId="22" fillId="24" borderId="27" xfId="46" applyNumberFormat="1" applyFont="1" applyFill="1" applyBorder="1" applyAlignment="1">
      <alignment horizontal="right" vertical="center" shrinkToFit="1"/>
    </xf>
    <xf numFmtId="9" fontId="22" fillId="24" borderId="27" xfId="43" applyFont="1" applyFill="1" applyBorder="1" applyAlignment="1">
      <alignment horizontal="right" vertical="center" shrinkToFit="1"/>
    </xf>
    <xf numFmtId="41" fontId="22" fillId="0" borderId="10" xfId="0" applyNumberFormat="1" applyFont="1" applyFill="1" applyBorder="1" applyAlignment="1">
      <alignment horizontal="center" vertical="center" shrinkToFit="1"/>
    </xf>
    <xf numFmtId="41" fontId="22" fillId="24" borderId="27" xfId="0" applyNumberFormat="1" applyFont="1" applyFill="1" applyBorder="1" applyAlignment="1">
      <alignment horizontal="center" vertical="center" shrinkToFit="1"/>
    </xf>
    <xf numFmtId="41" fontId="21" fillId="24" borderId="10" xfId="0" applyNumberFormat="1" applyFont="1" applyFill="1" applyBorder="1" applyAlignment="1">
      <alignment horizontal="center" vertical="center" shrinkToFit="1"/>
    </xf>
    <xf numFmtId="0" fontId="22" fillId="0" borderId="15" xfId="0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22" fillId="24" borderId="27" xfId="0" applyNumberFormat="1" applyFont="1" applyFill="1" applyBorder="1" applyAlignment="1">
      <alignment vertical="center" shrinkToFit="1"/>
    </xf>
    <xf numFmtId="0" fontId="22" fillId="0" borderId="27" xfId="0" applyFont="1" applyFill="1" applyBorder="1" applyAlignment="1">
      <alignment horizontal="center" vertical="center" shrinkToFit="1"/>
    </xf>
    <xf numFmtId="0" fontId="22" fillId="24" borderId="14" xfId="0" applyFont="1" applyFill="1" applyBorder="1" applyAlignment="1">
      <alignment horizontal="center" vertical="center" shrinkToFit="1"/>
    </xf>
    <xf numFmtId="0" fontId="22" fillId="0" borderId="10" xfId="0" applyFont="1" applyFill="1" applyBorder="1" applyAlignment="1">
      <alignment horizontal="center" vertical="center" shrinkToFit="1"/>
    </xf>
    <xf numFmtId="0" fontId="22" fillId="24" borderId="27" xfId="0" applyFont="1" applyFill="1" applyBorder="1" applyAlignment="1">
      <alignment horizontal="center" vertical="center" shrinkToFit="1"/>
    </xf>
    <xf numFmtId="3" fontId="22" fillId="24" borderId="10" xfId="46" applyNumberFormat="1" applyFont="1" applyFill="1" applyBorder="1" applyAlignment="1">
      <alignment horizontal="right" vertical="center" shrinkToFit="1"/>
    </xf>
    <xf numFmtId="3" fontId="22" fillId="24" borderId="28" xfId="0" applyNumberFormat="1" applyFont="1" applyFill="1" applyBorder="1" applyAlignment="1">
      <alignment vertical="center" shrinkToFit="1"/>
    </xf>
    <xf numFmtId="41" fontId="21" fillId="24" borderId="10" xfId="0" applyNumberFormat="1" applyFont="1" applyFill="1" applyBorder="1" applyAlignment="1">
      <alignment vertical="center" shrinkToFit="1"/>
    </xf>
    <xf numFmtId="41" fontId="21" fillId="24" borderId="28" xfId="0" applyNumberFormat="1" applyFont="1" applyFill="1" applyBorder="1" applyAlignment="1">
      <alignment vertical="center" shrinkToFit="1"/>
    </xf>
    <xf numFmtId="0" fontId="21" fillId="24" borderId="27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3" fontId="22" fillId="24" borderId="27" xfId="0" applyNumberFormat="1" applyFont="1" applyFill="1" applyBorder="1" applyAlignment="1">
      <alignment vertical="center"/>
    </xf>
    <xf numFmtId="0" fontId="22" fillId="0" borderId="27" xfId="0" applyFont="1" applyFill="1" applyBorder="1" applyAlignment="1">
      <alignment horizontal="center" vertical="center"/>
    </xf>
    <xf numFmtId="0" fontId="22" fillId="24" borderId="14" xfId="0" applyFont="1" applyFill="1" applyBorder="1" applyAlignment="1">
      <alignment horizontal="center" vertical="center"/>
    </xf>
    <xf numFmtId="9" fontId="22" fillId="24" borderId="29" xfId="43" applyFont="1" applyFill="1" applyBorder="1" applyAlignment="1">
      <alignment horizontal="right" vertical="center" shrinkToFit="1"/>
    </xf>
    <xf numFmtId="0" fontId="21" fillId="24" borderId="28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/>
    </xf>
    <xf numFmtId="0" fontId="21" fillId="24" borderId="14" xfId="0" applyFont="1" applyFill="1" applyBorder="1" applyAlignment="1">
      <alignment horizontal="center" vertical="center"/>
    </xf>
    <xf numFmtId="3" fontId="22" fillId="24" borderId="27" xfId="46" applyNumberFormat="1" applyFont="1" applyFill="1" applyBorder="1" applyAlignment="1">
      <alignment vertical="center"/>
    </xf>
    <xf numFmtId="3" fontId="22" fillId="24" borderId="14" xfId="46" applyNumberFormat="1" applyFont="1" applyFill="1" applyBorder="1" applyAlignment="1">
      <alignment vertical="center" shrinkToFit="1"/>
    </xf>
    <xf numFmtId="41" fontId="22" fillId="0" borderId="28" xfId="0" applyNumberFormat="1" applyFont="1" applyFill="1" applyBorder="1" applyAlignment="1">
      <alignment horizontal="center" vertical="center" shrinkToFit="1"/>
    </xf>
    <xf numFmtId="3" fontId="22" fillId="24" borderId="28" xfId="46" applyNumberFormat="1" applyFont="1" applyFill="1" applyBorder="1" applyAlignment="1">
      <alignment horizontal="right" vertical="center" shrinkToFit="1"/>
    </xf>
    <xf numFmtId="9" fontId="22" fillId="24" borderId="14" xfId="43" applyFont="1" applyFill="1" applyBorder="1" applyAlignment="1">
      <alignment vertical="center" shrinkToFit="1"/>
    </xf>
    <xf numFmtId="0" fontId="22" fillId="0" borderId="0" xfId="0" applyFont="1" applyFill="1" applyBorder="1" applyAlignment="1">
      <alignment vertical="center"/>
    </xf>
    <xf numFmtId="41" fontId="21" fillId="24" borderId="28" xfId="0" applyNumberFormat="1" applyFont="1" applyFill="1" applyBorder="1" applyAlignment="1">
      <alignment horizontal="center" vertical="center" shrinkToFit="1"/>
    </xf>
    <xf numFmtId="0" fontId="22" fillId="0" borderId="11" xfId="0" applyFont="1" applyFill="1" applyBorder="1" applyAlignment="1">
      <alignment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vertical="center"/>
    </xf>
    <xf numFmtId="0" fontId="22" fillId="0" borderId="12" xfId="0" applyFont="1" applyFill="1" applyBorder="1" applyAlignment="1">
      <alignment vertical="center"/>
    </xf>
    <xf numFmtId="0" fontId="22" fillId="24" borderId="28" xfId="0" applyFont="1" applyFill="1" applyBorder="1" applyAlignment="1">
      <alignment horizontal="center" vertical="center" shrinkToFit="1"/>
    </xf>
    <xf numFmtId="0" fontId="26" fillId="0" borderId="0" xfId="0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0" fontId="34" fillId="0" borderId="0" xfId="0" applyFont="1" applyFill="1" applyAlignment="1">
      <alignment horizontal="center" vertical="center"/>
    </xf>
    <xf numFmtId="41" fontId="20" fillId="0" borderId="14" xfId="0" applyNumberFormat="1" applyFont="1" applyFill="1" applyBorder="1" applyAlignment="1">
      <alignment horizontal="center" vertical="center"/>
    </xf>
    <xf numFmtId="0" fontId="21" fillId="0" borderId="28" xfId="41" applyFont="1" applyFill="1" applyBorder="1" applyAlignment="1">
      <alignment horizontal="center" vertical="center" shrinkToFit="1"/>
    </xf>
    <xf numFmtId="3" fontId="22" fillId="0" borderId="30" xfId="0" applyNumberFormat="1" applyFont="1" applyFill="1" applyBorder="1" applyAlignment="1">
      <alignment horizontal="center" vertical="center"/>
    </xf>
    <xf numFmtId="3" fontId="21" fillId="24" borderId="14" xfId="0" applyNumberFormat="1" applyFont="1" applyFill="1" applyBorder="1" applyAlignment="1">
      <alignment horizontal="right" vertical="center" shrinkToFit="1"/>
    </xf>
    <xf numFmtId="3" fontId="21" fillId="24" borderId="27" xfId="46" applyNumberFormat="1" applyFont="1" applyFill="1" applyBorder="1" applyAlignment="1">
      <alignment vertical="center" shrinkToFit="1"/>
    </xf>
    <xf numFmtId="9" fontId="21" fillId="24" borderId="29" xfId="43" applyFont="1" applyFill="1" applyBorder="1" applyAlignment="1">
      <alignment vertical="center" shrinkToFit="1"/>
    </xf>
    <xf numFmtId="41" fontId="21" fillId="24" borderId="27" xfId="46" applyNumberFormat="1" applyFont="1" applyFill="1" applyBorder="1" applyAlignment="1">
      <alignment horizontal="center" vertical="center" shrinkToFit="1"/>
    </xf>
    <xf numFmtId="41" fontId="21" fillId="24" borderId="14" xfId="46" applyNumberFormat="1" applyFont="1" applyFill="1" applyBorder="1" applyAlignment="1">
      <alignment horizontal="center" vertical="center" shrinkToFit="1"/>
    </xf>
    <xf numFmtId="3" fontId="21" fillId="24" borderId="14" xfId="46" applyNumberFormat="1" applyFont="1" applyFill="1" applyBorder="1" applyAlignment="1">
      <alignment horizontal="right" vertical="center" shrinkToFit="1"/>
    </xf>
    <xf numFmtId="41" fontId="21" fillId="24" borderId="10" xfId="46" applyNumberFormat="1" applyFont="1" applyFill="1" applyBorder="1" applyAlignment="1">
      <alignment horizontal="center" vertical="center" shrinkToFit="1"/>
    </xf>
    <xf numFmtId="3" fontId="21" fillId="24" borderId="27" xfId="46" applyNumberFormat="1" applyFont="1" applyFill="1" applyBorder="1" applyAlignment="1">
      <alignment horizontal="right" vertical="center" shrinkToFit="1"/>
    </xf>
    <xf numFmtId="3" fontId="21" fillId="24" borderId="10" xfId="46" applyNumberFormat="1" applyFont="1" applyFill="1" applyBorder="1" applyAlignment="1">
      <alignment horizontal="right" vertical="center" shrinkToFit="1"/>
    </xf>
    <xf numFmtId="9" fontId="21" fillId="24" borderId="10" xfId="43" applyFont="1" applyFill="1" applyBorder="1" applyAlignment="1">
      <alignment horizontal="right" vertical="center" shrinkToFit="1"/>
    </xf>
    <xf numFmtId="41" fontId="21" fillId="24" borderId="15" xfId="43" applyNumberFormat="1" applyFont="1" applyFill="1" applyBorder="1" applyAlignment="1">
      <alignment horizontal="left" vertical="center" wrapText="1" shrinkToFit="1"/>
    </xf>
    <xf numFmtId="41" fontId="21" fillId="24" borderId="11" xfId="50" applyFont="1" applyFill="1" applyBorder="1" applyAlignment="1">
      <alignment horizontal="right" vertical="center" wrapText="1" shrinkToFit="1"/>
    </xf>
    <xf numFmtId="41" fontId="22" fillId="24" borderId="10" xfId="0" applyNumberFormat="1" applyFont="1" applyFill="1" applyBorder="1" applyAlignment="1">
      <alignment horizontal="center" vertical="center" shrinkToFit="1"/>
    </xf>
    <xf numFmtId="3" fontId="21" fillId="24" borderId="10" xfId="0" applyNumberFormat="1" applyFont="1" applyFill="1" applyBorder="1" applyAlignment="1">
      <alignment horizontal="right" vertical="center" shrinkToFit="1"/>
    </xf>
    <xf numFmtId="178" fontId="23" fillId="24" borderId="15" xfId="0" applyNumberFormat="1" applyFont="1" applyFill="1" applyBorder="1" applyAlignment="1">
      <alignment horizontal="right" vertical="center" wrapText="1" shrinkToFit="1"/>
    </xf>
    <xf numFmtId="3" fontId="21" fillId="24" borderId="28" xfId="46" applyNumberFormat="1" applyFont="1" applyFill="1" applyBorder="1" applyAlignment="1">
      <alignment horizontal="right" vertical="center" shrinkToFit="1"/>
    </xf>
    <xf numFmtId="9" fontId="21" fillId="24" borderId="28" xfId="43" applyFont="1" applyFill="1" applyBorder="1" applyAlignment="1">
      <alignment horizontal="right" vertical="center" shrinkToFit="1"/>
    </xf>
    <xf numFmtId="178" fontId="23" fillId="24" borderId="16" xfId="0" applyNumberFormat="1" applyFont="1" applyFill="1" applyBorder="1" applyAlignment="1">
      <alignment horizontal="right" vertical="center" wrapText="1" shrinkToFit="1"/>
    </xf>
    <xf numFmtId="41" fontId="21" fillId="24" borderId="12" xfId="50" applyFont="1" applyFill="1" applyBorder="1" applyAlignment="1">
      <alignment horizontal="right" vertical="center" wrapText="1" shrinkToFit="1"/>
    </xf>
    <xf numFmtId="41" fontId="21" fillId="24" borderId="15" xfId="43" applyNumberFormat="1" applyFont="1" applyFill="1" applyBorder="1" applyAlignment="1">
      <alignment vertical="center" wrapText="1" shrinkToFit="1"/>
    </xf>
    <xf numFmtId="41" fontId="21" fillId="24" borderId="11" xfId="43" applyNumberFormat="1" applyFont="1" applyFill="1" applyBorder="1" applyAlignment="1">
      <alignment vertical="center" wrapText="1" shrinkToFit="1"/>
    </xf>
    <xf numFmtId="38" fontId="23" fillId="24" borderId="11" xfId="0" applyNumberFormat="1" applyFont="1" applyFill="1" applyBorder="1" applyAlignment="1">
      <alignment horizontal="right" vertical="center" wrapText="1" shrinkToFit="1"/>
    </xf>
    <xf numFmtId="178" fontId="23" fillId="24" borderId="0" xfId="0" applyNumberFormat="1" applyFont="1" applyFill="1" applyBorder="1" applyAlignment="1">
      <alignment horizontal="right" vertical="center" wrapText="1" shrinkToFit="1"/>
    </xf>
    <xf numFmtId="178" fontId="23" fillId="24" borderId="17" xfId="0" applyNumberFormat="1" applyFont="1" applyFill="1" applyBorder="1" applyAlignment="1">
      <alignment horizontal="right" vertical="center" wrapText="1" shrinkToFit="1"/>
    </xf>
    <xf numFmtId="41" fontId="21" fillId="24" borderId="27" xfId="46" applyNumberFormat="1" applyFont="1" applyFill="1" applyBorder="1" applyAlignment="1">
      <alignment vertical="center" shrinkToFit="1"/>
    </xf>
    <xf numFmtId="41" fontId="21" fillId="24" borderId="14" xfId="46" applyNumberFormat="1" applyFont="1" applyFill="1" applyBorder="1" applyAlignment="1">
      <alignment vertical="center" shrinkToFit="1"/>
    </xf>
    <xf numFmtId="3" fontId="21" fillId="24" borderId="14" xfId="0" applyNumberFormat="1" applyFont="1" applyFill="1" applyBorder="1" applyAlignment="1">
      <alignment horizontal="center" vertical="center" shrinkToFit="1"/>
    </xf>
    <xf numFmtId="3" fontId="21" fillId="24" borderId="14" xfId="0" applyNumberFormat="1" applyFont="1" applyFill="1" applyBorder="1" applyAlignment="1">
      <alignment vertical="center"/>
    </xf>
    <xf numFmtId="0" fontId="21" fillId="24" borderId="30" xfId="0" applyFont="1" applyFill="1" applyBorder="1" applyAlignment="1">
      <alignment horizontal="right" vertical="center" wrapText="1" shrinkToFit="1"/>
    </xf>
    <xf numFmtId="38" fontId="21" fillId="24" borderId="13" xfId="0" applyNumberFormat="1" applyFont="1" applyFill="1" applyBorder="1" applyAlignment="1">
      <alignment vertical="center" wrapText="1"/>
    </xf>
    <xf numFmtId="3" fontId="21" fillId="24" borderId="10" xfId="0" applyNumberFormat="1" applyFont="1" applyFill="1" applyBorder="1" applyAlignment="1">
      <alignment horizontal="center" vertical="center" shrinkToFit="1"/>
    </xf>
    <xf numFmtId="0" fontId="21" fillId="24" borderId="29" xfId="0" applyFont="1" applyFill="1" applyBorder="1" applyAlignment="1">
      <alignment horizontal="left" vertical="center" wrapText="1"/>
    </xf>
    <xf numFmtId="38" fontId="21" fillId="24" borderId="31" xfId="0" applyNumberFormat="1" applyFont="1" applyFill="1" applyBorder="1" applyAlignment="1">
      <alignment vertical="center" wrapText="1"/>
    </xf>
    <xf numFmtId="3" fontId="21" fillId="24" borderId="10" xfId="46" applyNumberFormat="1" applyFont="1" applyFill="1" applyBorder="1" applyAlignment="1">
      <alignment vertical="center" shrinkToFit="1"/>
    </xf>
    <xf numFmtId="9" fontId="21" fillId="24" borderId="10" xfId="43" applyFont="1" applyFill="1" applyBorder="1" applyAlignment="1">
      <alignment vertical="center" shrinkToFit="1"/>
    </xf>
    <xf numFmtId="177" fontId="21" fillId="24" borderId="0" xfId="0" applyNumberFormat="1" applyFont="1" applyFill="1" applyBorder="1" applyAlignment="1">
      <alignment horizontal="right" vertical="center" wrapText="1"/>
    </xf>
    <xf numFmtId="38" fontId="21" fillId="24" borderId="11" xfId="0" applyNumberFormat="1" applyFont="1" applyFill="1" applyBorder="1" applyAlignment="1">
      <alignment vertical="center" wrapText="1"/>
    </xf>
    <xf numFmtId="0" fontId="21" fillId="24" borderId="0" xfId="0" applyFont="1" applyFill="1" applyBorder="1" applyAlignment="1">
      <alignment horizontal="right" vertical="center" wrapText="1"/>
    </xf>
    <xf numFmtId="3" fontId="21" fillId="24" borderId="10" xfId="0" applyNumberFormat="1" applyFont="1" applyFill="1" applyBorder="1" applyAlignment="1">
      <alignment vertical="center"/>
    </xf>
    <xf numFmtId="3" fontId="21" fillId="24" borderId="28" xfId="0" applyNumberFormat="1" applyFont="1" applyFill="1" applyBorder="1" applyAlignment="1">
      <alignment horizontal="center" vertical="center" shrinkToFit="1"/>
    </xf>
    <xf numFmtId="3" fontId="21" fillId="24" borderId="28" xfId="0" applyNumberFormat="1" applyFont="1" applyFill="1" applyBorder="1" applyAlignment="1">
      <alignment vertical="center"/>
    </xf>
    <xf numFmtId="177" fontId="21" fillId="24" borderId="17" xfId="0" applyNumberFormat="1" applyFont="1" applyFill="1" applyBorder="1" applyAlignment="1">
      <alignment horizontal="right" vertical="center" wrapText="1"/>
    </xf>
    <xf numFmtId="38" fontId="23" fillId="24" borderId="12" xfId="0" applyNumberFormat="1" applyFont="1" applyFill="1" applyBorder="1" applyAlignment="1">
      <alignment horizontal="right" vertical="center" wrapText="1" shrinkToFit="1"/>
    </xf>
    <xf numFmtId="38" fontId="21" fillId="24" borderId="12" xfId="0" applyNumberFormat="1" applyFont="1" applyFill="1" applyBorder="1" applyAlignment="1">
      <alignment vertical="center" wrapText="1"/>
    </xf>
    <xf numFmtId="0" fontId="21" fillId="24" borderId="30" xfId="0" applyFont="1" applyFill="1" applyBorder="1" applyAlignment="1">
      <alignment horizontal="left" vertical="center" wrapText="1" shrinkToFit="1"/>
    </xf>
    <xf numFmtId="38" fontId="23" fillId="24" borderId="13" xfId="0" applyNumberFormat="1" applyFont="1" applyFill="1" applyBorder="1" applyAlignment="1">
      <alignment horizontal="right" vertical="center" wrapText="1" shrinkToFit="1"/>
    </xf>
    <xf numFmtId="41" fontId="21" fillId="24" borderId="10" xfId="46" applyNumberFormat="1" applyFont="1" applyFill="1" applyBorder="1" applyAlignment="1">
      <alignment vertical="center" shrinkToFit="1"/>
    </xf>
    <xf numFmtId="41" fontId="21" fillId="24" borderId="28" xfId="46" applyNumberFormat="1" applyFont="1" applyFill="1" applyBorder="1" applyAlignment="1">
      <alignment horizontal="center" vertical="center" shrinkToFit="1"/>
    </xf>
    <xf numFmtId="0" fontId="21" fillId="24" borderId="16" xfId="0" applyFont="1" applyFill="1" applyBorder="1" applyAlignment="1">
      <alignment horizontal="left" vertical="center" wrapText="1" shrinkToFit="1"/>
    </xf>
    <xf numFmtId="38" fontId="23" fillId="24" borderId="29" xfId="0" applyNumberFormat="1" applyFont="1" applyFill="1" applyBorder="1" applyAlignment="1">
      <alignment horizontal="left" vertical="center" wrapText="1" shrinkToFit="1"/>
    </xf>
    <xf numFmtId="38" fontId="23" fillId="24" borderId="31" xfId="0" applyNumberFormat="1" applyFont="1" applyFill="1" applyBorder="1" applyAlignment="1">
      <alignment horizontal="left" vertical="center" wrapText="1" shrinkToFit="1"/>
    </xf>
    <xf numFmtId="3" fontId="21" fillId="24" borderId="28" xfId="0" applyNumberFormat="1" applyFont="1" applyFill="1" applyBorder="1" applyAlignment="1">
      <alignment horizontal="right" vertical="center" shrinkToFit="1"/>
    </xf>
    <xf numFmtId="0" fontId="21" fillId="24" borderId="16" xfId="0" applyFont="1" applyFill="1" applyBorder="1" applyAlignment="1">
      <alignment horizontal="right" vertical="center" wrapText="1" shrinkToFit="1"/>
    </xf>
    <xf numFmtId="41" fontId="21" fillId="24" borderId="28" xfId="46" applyNumberFormat="1" applyFont="1" applyFill="1" applyBorder="1" applyAlignment="1">
      <alignment vertical="center" shrinkToFit="1"/>
    </xf>
    <xf numFmtId="3" fontId="21" fillId="24" borderId="13" xfId="0" applyNumberFormat="1" applyFont="1" applyFill="1" applyBorder="1" applyAlignment="1">
      <alignment vertical="center" wrapText="1"/>
    </xf>
    <xf numFmtId="0" fontId="21" fillId="24" borderId="29" xfId="0" applyFont="1" applyFill="1" applyBorder="1" applyAlignment="1">
      <alignment horizontal="left" vertical="center" wrapText="1" shrinkToFit="1"/>
    </xf>
    <xf numFmtId="3" fontId="21" fillId="24" borderId="31" xfId="0" applyNumberFormat="1" applyFont="1" applyFill="1" applyBorder="1" applyAlignment="1">
      <alignment vertical="center" wrapText="1"/>
    </xf>
    <xf numFmtId="41" fontId="21" fillId="24" borderId="15" xfId="41" applyNumberFormat="1" applyFont="1" applyFill="1" applyBorder="1" applyAlignment="1">
      <alignment horizontal="left" vertical="center" wrapText="1" shrinkToFit="1"/>
    </xf>
    <xf numFmtId="41" fontId="21" fillId="0" borderId="11" xfId="50" applyFont="1" applyBorder="1" applyAlignment="1">
      <alignment horizontal="right" vertical="center" wrapText="1" shrinkToFit="1"/>
    </xf>
    <xf numFmtId="3" fontId="21" fillId="24" borderId="28" xfId="46" applyNumberFormat="1" applyFont="1" applyFill="1" applyBorder="1" applyAlignment="1">
      <alignment vertical="center" shrinkToFit="1"/>
    </xf>
    <xf numFmtId="41" fontId="21" fillId="0" borderId="12" xfId="50" applyFont="1" applyBorder="1" applyAlignment="1">
      <alignment horizontal="right" vertical="center" wrapText="1" shrinkToFit="1"/>
    </xf>
    <xf numFmtId="0" fontId="21" fillId="24" borderId="14" xfId="46" applyFont="1" applyFill="1" applyBorder="1" applyAlignment="1">
      <alignment horizontal="center" vertical="center" shrinkToFit="1"/>
    </xf>
    <xf numFmtId="0" fontId="21" fillId="24" borderId="10" xfId="46" applyFont="1" applyFill="1" applyBorder="1" applyAlignment="1">
      <alignment horizontal="center" vertical="center" shrinkToFit="1"/>
    </xf>
    <xf numFmtId="9" fontId="21" fillId="24" borderId="29" xfId="43" applyFont="1" applyFill="1" applyBorder="1" applyAlignment="1">
      <alignment horizontal="right" vertical="center" shrinkToFit="1"/>
    </xf>
    <xf numFmtId="0" fontId="21" fillId="24" borderId="16" xfId="41" applyFont="1" applyFill="1" applyBorder="1" applyAlignment="1">
      <alignment horizontal="right" vertical="center" wrapText="1" shrinkToFit="1"/>
    </xf>
    <xf numFmtId="41" fontId="21" fillId="24" borderId="15" xfId="43" applyNumberFormat="1" applyFont="1" applyFill="1" applyBorder="1" applyAlignment="1">
      <alignment horizontal="right" vertical="center" wrapText="1" shrinkToFit="1"/>
    </xf>
    <xf numFmtId="41" fontId="21" fillId="24" borderId="16" xfId="43" applyNumberFormat="1" applyFont="1" applyFill="1" applyBorder="1" applyAlignment="1">
      <alignment horizontal="right" vertical="center" wrapText="1" shrinkToFit="1"/>
    </xf>
    <xf numFmtId="41" fontId="23" fillId="0" borderId="0" xfId="50" applyFont="1" applyFill="1" applyAlignment="1">
      <alignment horizontal="right" shrinkToFit="1"/>
    </xf>
    <xf numFmtId="0" fontId="34" fillId="0" borderId="0" xfId="0" applyFont="1" applyFill="1" applyAlignment="1">
      <alignment horizontal="center"/>
    </xf>
    <xf numFmtId="41" fontId="20" fillId="24" borderId="14" xfId="0" applyNumberFormat="1" applyFont="1" applyFill="1" applyBorder="1" applyAlignment="1">
      <alignment horizontal="center" vertical="center"/>
    </xf>
    <xf numFmtId="3" fontId="22" fillId="24" borderId="30" xfId="0" applyNumberFormat="1" applyFont="1" applyFill="1" applyBorder="1" applyAlignment="1">
      <alignment horizontal="center" vertical="center"/>
    </xf>
    <xf numFmtId="3" fontId="21" fillId="24" borderId="14" xfId="0" applyNumberFormat="1" applyFont="1" applyFill="1" applyBorder="1" applyAlignment="1">
      <alignment vertical="center" shrinkToFit="1"/>
    </xf>
    <xf numFmtId="3" fontId="21" fillId="24" borderId="27" xfId="0" applyNumberFormat="1" applyFont="1" applyFill="1" applyBorder="1" applyAlignment="1">
      <alignment vertical="center" shrinkToFit="1"/>
    </xf>
    <xf numFmtId="41" fontId="21" fillId="24" borderId="29" xfId="45" applyNumberFormat="1" applyFont="1" applyFill="1" applyBorder="1" applyAlignment="1">
      <alignment vertical="center" shrinkToFit="1"/>
    </xf>
    <xf numFmtId="41" fontId="21" fillId="24" borderId="31" xfId="45" applyNumberFormat="1" applyFont="1" applyFill="1" applyBorder="1" applyAlignment="1">
      <alignment vertical="center" shrinkToFit="1"/>
    </xf>
    <xf numFmtId="3" fontId="21" fillId="24" borderId="10" xfId="0" applyNumberFormat="1" applyFont="1" applyFill="1" applyBorder="1" applyAlignment="1">
      <alignment vertical="center" shrinkToFit="1"/>
    </xf>
    <xf numFmtId="9" fontId="21" fillId="24" borderId="15" xfId="43" applyFont="1" applyFill="1" applyBorder="1" applyAlignment="1">
      <alignment vertical="center" shrinkToFit="1"/>
    </xf>
    <xf numFmtId="41" fontId="21" fillId="24" borderId="15" xfId="45" applyNumberFormat="1" applyFont="1" applyFill="1" applyBorder="1" applyAlignment="1">
      <alignment horizontal="left" vertical="center" shrinkToFit="1"/>
    </xf>
    <xf numFmtId="176" fontId="37" fillId="24" borderId="11" xfId="0" applyNumberFormat="1" applyFont="1" applyFill="1" applyBorder="1" applyAlignment="1">
      <alignment vertical="center" wrapText="1" shrinkToFit="1"/>
    </xf>
    <xf numFmtId="3" fontId="23" fillId="24" borderId="15" xfId="0" applyNumberFormat="1" applyFont="1" applyFill="1" applyBorder="1" applyAlignment="1">
      <alignment horizontal="right" vertical="center" wrapText="1" shrinkToFit="1"/>
    </xf>
    <xf numFmtId="41" fontId="21" fillId="24" borderId="27" xfId="0" applyNumberFormat="1" applyFont="1" applyFill="1" applyBorder="1" applyAlignment="1">
      <alignment vertical="center" shrinkToFit="1"/>
    </xf>
    <xf numFmtId="41" fontId="21" fillId="24" borderId="29" xfId="45" applyNumberFormat="1" applyFont="1" applyFill="1" applyBorder="1" applyAlignment="1">
      <alignment vertical="center" wrapText="1" shrinkToFit="1"/>
    </xf>
    <xf numFmtId="41" fontId="21" fillId="24" borderId="31" xfId="45" applyNumberFormat="1" applyFont="1" applyFill="1" applyBorder="1" applyAlignment="1">
      <alignment vertical="center" wrapText="1" shrinkToFit="1"/>
    </xf>
    <xf numFmtId="41" fontId="21" fillId="24" borderId="15" xfId="45" applyNumberFormat="1" applyFont="1" applyFill="1" applyBorder="1" applyAlignment="1">
      <alignment horizontal="left" vertical="center" wrapText="1" shrinkToFit="1"/>
    </xf>
    <xf numFmtId="9" fontId="21" fillId="24" borderId="16" xfId="43" applyFont="1" applyFill="1" applyBorder="1" applyAlignment="1">
      <alignment vertical="center" shrinkToFit="1"/>
    </xf>
    <xf numFmtId="3" fontId="23" fillId="24" borderId="16" xfId="0" applyNumberFormat="1" applyFont="1" applyFill="1" applyBorder="1" applyAlignment="1">
      <alignment horizontal="right" vertical="center" wrapText="1" shrinkToFit="1"/>
    </xf>
    <xf numFmtId="176" fontId="37" fillId="24" borderId="12" xfId="0" applyNumberFormat="1" applyFont="1" applyFill="1" applyBorder="1" applyAlignment="1">
      <alignment vertical="center" wrapText="1" shrinkToFit="1"/>
    </xf>
    <xf numFmtId="41" fontId="21" fillId="24" borderId="15" xfId="45" applyNumberFormat="1" applyFont="1" applyFill="1" applyBorder="1" applyAlignment="1">
      <alignment vertical="center" shrinkToFit="1"/>
    </xf>
    <xf numFmtId="41" fontId="21" fillId="24" borderId="11" xfId="45" applyNumberFormat="1" applyFont="1" applyFill="1" applyBorder="1" applyAlignment="1">
      <alignment vertical="center" wrapText="1" shrinkToFit="1"/>
    </xf>
    <xf numFmtId="0" fontId="23" fillId="24" borderId="15" xfId="0" applyFont="1" applyFill="1" applyBorder="1" applyAlignment="1">
      <alignment horizontal="right" vertical="center" wrapText="1" shrinkToFit="1"/>
    </xf>
    <xf numFmtId="41" fontId="21" fillId="24" borderId="15" xfId="45" applyNumberFormat="1" applyFont="1" applyFill="1" applyBorder="1" applyAlignment="1">
      <alignment vertical="center" wrapText="1" shrinkToFit="1"/>
    </xf>
    <xf numFmtId="3" fontId="21" fillId="24" borderId="28" xfId="0" applyNumberFormat="1" applyFont="1" applyFill="1" applyBorder="1" applyAlignment="1">
      <alignment vertical="center" shrinkToFit="1"/>
    </xf>
    <xf numFmtId="3" fontId="21" fillId="24" borderId="28" xfId="52" applyNumberFormat="1" applyFont="1" applyFill="1" applyBorder="1" applyAlignment="1">
      <alignment horizontal="right" vertical="center" shrinkToFit="1"/>
    </xf>
    <xf numFmtId="9" fontId="21" fillId="24" borderId="17" xfId="43" applyFont="1" applyFill="1" applyBorder="1" applyAlignment="1">
      <alignment vertical="center" shrinkToFit="1"/>
    </xf>
    <xf numFmtId="0" fontId="23" fillId="24" borderId="16" xfId="0" applyFont="1" applyFill="1" applyBorder="1" applyAlignment="1">
      <alignment horizontal="right" vertical="center" wrapText="1" shrinkToFit="1"/>
    </xf>
    <xf numFmtId="41" fontId="21" fillId="24" borderId="29" xfId="45" applyNumberFormat="1" applyFont="1" applyFill="1" applyBorder="1" applyAlignment="1">
      <alignment horizontal="left" vertical="center" wrapText="1" shrinkToFit="1"/>
    </xf>
    <xf numFmtId="41" fontId="21" fillId="24" borderId="31" xfId="45" applyNumberFormat="1" applyFont="1" applyFill="1" applyBorder="1" applyAlignment="1">
      <alignment horizontal="left" vertical="center" wrapText="1" shrinkToFit="1"/>
    </xf>
    <xf numFmtId="3" fontId="21" fillId="24" borderId="10" xfId="52" applyNumberFormat="1" applyFont="1" applyFill="1" applyBorder="1" applyAlignment="1">
      <alignment horizontal="right" vertical="center" shrinkToFit="1"/>
    </xf>
    <xf numFmtId="9" fontId="21" fillId="24" borderId="15" xfId="45" applyFont="1" applyFill="1" applyBorder="1" applyAlignment="1">
      <alignment horizontal="right" vertical="center" shrinkToFit="1"/>
    </xf>
    <xf numFmtId="176" fontId="23" fillId="24" borderId="15" xfId="0" applyNumberFormat="1" applyFont="1" applyFill="1" applyBorder="1" applyAlignment="1">
      <alignment horizontal="right" vertical="center" wrapText="1" shrinkToFit="1"/>
    </xf>
    <xf numFmtId="9" fontId="21" fillId="24" borderId="16" xfId="45" applyFont="1" applyFill="1" applyBorder="1" applyAlignment="1">
      <alignment horizontal="right" vertical="center" shrinkToFit="1"/>
    </xf>
    <xf numFmtId="176" fontId="23" fillId="24" borderId="16" xfId="0" applyNumberFormat="1" applyFont="1" applyFill="1" applyBorder="1" applyAlignment="1">
      <alignment horizontal="right" vertical="center" wrapText="1" shrinkToFit="1"/>
    </xf>
    <xf numFmtId="176" fontId="23" fillId="24" borderId="30" xfId="0" applyNumberFormat="1" applyFont="1" applyFill="1" applyBorder="1" applyAlignment="1">
      <alignment horizontal="right" vertical="center" wrapText="1" shrinkToFit="1"/>
    </xf>
    <xf numFmtId="176" fontId="37" fillId="24" borderId="13" xfId="0" applyNumberFormat="1" applyFont="1" applyFill="1" applyBorder="1" applyAlignment="1">
      <alignment vertical="center" wrapText="1" shrinkToFit="1"/>
    </xf>
    <xf numFmtId="9" fontId="21" fillId="24" borderId="28" xfId="45" applyFont="1" applyFill="1" applyBorder="1" applyAlignment="1">
      <alignment horizontal="right" vertical="center" shrinkToFit="1"/>
    </xf>
    <xf numFmtId="41" fontId="21" fillId="24" borderId="29" xfId="45" applyNumberFormat="1" applyFont="1" applyFill="1" applyBorder="1" applyAlignment="1">
      <alignment horizontal="left" vertical="center" shrinkToFit="1"/>
    </xf>
    <xf numFmtId="0" fontId="21" fillId="24" borderId="29" xfId="0" applyFont="1" applyFill="1" applyBorder="1" applyAlignment="1">
      <alignment vertical="center" wrapText="1" shrinkToFit="1"/>
    </xf>
    <xf numFmtId="0" fontId="21" fillId="24" borderId="31" xfId="0" applyFont="1" applyFill="1" applyBorder="1" applyAlignment="1">
      <alignment vertical="center" wrapText="1" shrinkToFit="1"/>
    </xf>
    <xf numFmtId="41" fontId="21" fillId="24" borderId="30" xfId="45" applyNumberFormat="1" applyFont="1" applyFill="1" applyBorder="1" applyAlignment="1">
      <alignment horizontal="left" vertical="center" wrapText="1" shrinkToFit="1"/>
    </xf>
    <xf numFmtId="41" fontId="21" fillId="24" borderId="13" xfId="45" applyNumberFormat="1" applyFont="1" applyFill="1" applyBorder="1" applyAlignment="1">
      <alignment horizontal="left" vertical="center" wrapText="1" shrinkToFit="1"/>
    </xf>
    <xf numFmtId="3" fontId="21" fillId="24" borderId="27" xfId="52" applyNumberFormat="1" applyFont="1" applyFill="1" applyBorder="1" applyAlignment="1">
      <alignment horizontal="right" vertical="center" shrinkToFit="1"/>
    </xf>
    <xf numFmtId="9" fontId="21" fillId="24" borderId="29" xfId="45" applyFont="1" applyFill="1" applyBorder="1" applyAlignment="1">
      <alignment horizontal="right" vertical="center" shrinkToFit="1"/>
    </xf>
    <xf numFmtId="176" fontId="37" fillId="24" borderId="31" xfId="0" applyNumberFormat="1" applyFont="1" applyFill="1" applyBorder="1" applyAlignment="1">
      <alignment vertical="center" wrapText="1" shrinkToFit="1"/>
    </xf>
    <xf numFmtId="176" fontId="21" fillId="24" borderId="15" xfId="0" applyNumberFormat="1" applyFont="1" applyFill="1" applyBorder="1" applyAlignment="1">
      <alignment horizontal="right" vertical="center" wrapText="1" shrinkToFit="1"/>
    </xf>
    <xf numFmtId="176" fontId="37" fillId="24" borderId="0" xfId="0" applyNumberFormat="1" applyFont="1" applyFill="1" applyBorder="1" applyAlignment="1">
      <alignment vertical="center" wrapText="1" shrinkToFit="1"/>
    </xf>
    <xf numFmtId="41" fontId="38" fillId="24" borderId="31" xfId="45" applyNumberFormat="1" applyFont="1" applyFill="1" applyBorder="1" applyAlignment="1">
      <alignment horizontal="right" vertical="center" wrapText="1" shrinkToFit="1"/>
    </xf>
    <xf numFmtId="41" fontId="38" fillId="24" borderId="11" xfId="45" applyNumberFormat="1" applyFont="1" applyFill="1" applyBorder="1" applyAlignment="1">
      <alignment horizontal="right" vertical="center" wrapText="1" shrinkToFit="1"/>
    </xf>
    <xf numFmtId="41" fontId="21" fillId="24" borderId="31" xfId="50" applyFont="1" applyFill="1" applyBorder="1" applyAlignment="1">
      <alignment horizontal="left" vertical="center" wrapText="1" shrinkToFit="1"/>
    </xf>
    <xf numFmtId="41" fontId="21" fillId="24" borderId="16" xfId="45" applyNumberFormat="1" applyFont="1" applyFill="1" applyBorder="1" applyAlignment="1">
      <alignment horizontal="left" vertical="center" wrapText="1" shrinkToFit="1"/>
    </xf>
    <xf numFmtId="176" fontId="21" fillId="24" borderId="16" xfId="0" applyNumberFormat="1" applyFont="1" applyFill="1" applyBorder="1" applyAlignment="1">
      <alignment horizontal="right" vertical="center" wrapText="1" shrinkToFit="1"/>
    </xf>
    <xf numFmtId="41" fontId="21" fillId="24" borderId="15" xfId="45" applyNumberFormat="1" applyFont="1" applyFill="1" applyBorder="1" applyAlignment="1">
      <alignment horizontal="right" vertical="center" wrapText="1" shrinkToFit="1"/>
    </xf>
    <xf numFmtId="3" fontId="21" fillId="24" borderId="27" xfId="0" applyNumberFormat="1" applyFont="1" applyFill="1" applyBorder="1" applyAlignment="1">
      <alignment vertical="center"/>
    </xf>
    <xf numFmtId="0" fontId="21" fillId="24" borderId="15" xfId="0" applyFont="1" applyFill="1" applyBorder="1" applyAlignment="1">
      <alignment horizontal="right" vertical="center" wrapText="1" shrinkToFit="1"/>
    </xf>
    <xf numFmtId="0" fontId="21" fillId="24" borderId="27" xfId="0" applyFont="1" applyFill="1" applyBorder="1" applyAlignment="1">
      <alignment horizontal="center" vertical="center" shrinkToFit="1"/>
    </xf>
    <xf numFmtId="0" fontId="21" fillId="24" borderId="15" xfId="0" applyFont="1" applyFill="1" applyBorder="1" applyAlignment="1">
      <alignment horizontal="left" vertical="center" wrapText="1" shrinkToFit="1"/>
    </xf>
    <xf numFmtId="176" fontId="21" fillId="24" borderId="30" xfId="0" applyNumberFormat="1" applyFont="1" applyFill="1" applyBorder="1" applyAlignment="1">
      <alignment horizontal="right" vertical="center" wrapText="1" shrinkToFit="1"/>
    </xf>
    <xf numFmtId="0" fontId="21" fillId="24" borderId="10" xfId="0" applyFont="1" applyFill="1" applyBorder="1" applyAlignment="1">
      <alignment vertical="center"/>
    </xf>
    <xf numFmtId="176" fontId="21" fillId="24" borderId="29" xfId="0" applyNumberFormat="1" applyFont="1" applyFill="1" applyBorder="1" applyAlignment="1">
      <alignment horizontal="right" vertical="center" wrapText="1" shrinkToFit="1"/>
    </xf>
    <xf numFmtId="0" fontId="21" fillId="24" borderId="27" xfId="0" applyFont="1" applyFill="1" applyBorder="1" applyAlignment="1">
      <alignment vertical="center" shrinkToFit="1"/>
    </xf>
    <xf numFmtId="176" fontId="37" fillId="24" borderId="29" xfId="0" applyNumberFormat="1" applyFont="1" applyFill="1" applyBorder="1" applyAlignment="1">
      <alignment vertical="center" wrapText="1" shrinkToFit="1"/>
    </xf>
    <xf numFmtId="0" fontId="21" fillId="24" borderId="10" xfId="0" applyFont="1" applyFill="1" applyBorder="1" applyAlignment="1">
      <alignment vertical="center" shrinkToFit="1"/>
    </xf>
    <xf numFmtId="9" fontId="21" fillId="24" borderId="15" xfId="43" applyFont="1" applyFill="1" applyBorder="1" applyAlignment="1">
      <alignment horizontal="right" vertical="center" shrinkToFit="1"/>
    </xf>
    <xf numFmtId="176" fontId="37" fillId="24" borderId="15" xfId="0" applyNumberFormat="1" applyFont="1" applyFill="1" applyBorder="1" applyAlignment="1">
      <alignment vertical="center" wrapText="1" shrinkToFit="1"/>
    </xf>
    <xf numFmtId="0" fontId="21" fillId="24" borderId="28" xfId="0" applyFont="1" applyFill="1" applyBorder="1" applyAlignment="1">
      <alignment vertical="center"/>
    </xf>
    <xf numFmtId="0" fontId="21" fillId="24" borderId="28" xfId="0" applyFont="1" applyFill="1" applyBorder="1" applyAlignment="1">
      <alignment vertical="center" shrinkToFit="1"/>
    </xf>
    <xf numFmtId="3" fontId="21" fillId="24" borderId="27" xfId="46" applyNumberFormat="1" applyFont="1" applyFill="1" applyBorder="1" applyAlignment="1">
      <alignment vertical="center"/>
    </xf>
    <xf numFmtId="3" fontId="21" fillId="24" borderId="14" xfId="46" applyNumberFormat="1" applyFont="1" applyFill="1" applyBorder="1" applyAlignment="1">
      <alignment vertical="center" shrinkToFit="1"/>
    </xf>
    <xf numFmtId="3" fontId="22" fillId="24" borderId="10" xfId="46" applyNumberFormat="1" applyFont="1" applyFill="1" applyBorder="1" applyAlignment="1">
      <alignment vertical="center" shrinkToFit="1"/>
    </xf>
    <xf numFmtId="42" fontId="20" fillId="0" borderId="0" xfId="74" applyNumberFormat="1" applyFont="1" applyBorder="1">
      <alignment vertical="center"/>
      <protection/>
    </xf>
    <xf numFmtId="0" fontId="27" fillId="0" borderId="24" xfId="74" applyFont="1" applyBorder="1" applyAlignment="1">
      <alignment horizontal="left" vertical="center"/>
      <protection/>
    </xf>
    <xf numFmtId="0" fontId="27" fillId="0" borderId="0" xfId="74" applyFont="1" applyBorder="1" applyAlignment="1">
      <alignment horizontal="left" vertical="center"/>
      <protection/>
    </xf>
    <xf numFmtId="0" fontId="27" fillId="0" borderId="25" xfId="74" applyFont="1" applyBorder="1" applyAlignment="1">
      <alignment horizontal="left" vertical="center"/>
      <protection/>
    </xf>
    <xf numFmtId="0" fontId="39" fillId="0" borderId="0" xfId="74" applyFont="1" applyBorder="1" applyAlignment="1">
      <alignment horizontal="center" vertical="center"/>
      <protection/>
    </xf>
    <xf numFmtId="0" fontId="40" fillId="0" borderId="0" xfId="74" applyFont="1" applyBorder="1" applyAlignment="1">
      <alignment horizontal="center" vertical="center"/>
      <protection/>
    </xf>
    <xf numFmtId="0" fontId="40" fillId="0" borderId="24" xfId="74" applyFont="1" applyBorder="1" applyAlignment="1">
      <alignment horizontal="center" vertical="center"/>
      <protection/>
    </xf>
    <xf numFmtId="0" fontId="40" fillId="0" borderId="25" xfId="74" applyFont="1" applyBorder="1" applyAlignment="1">
      <alignment horizontal="center" vertical="center"/>
      <protection/>
    </xf>
    <xf numFmtId="0" fontId="41" fillId="0" borderId="24" xfId="74" applyFont="1" applyBorder="1" applyAlignment="1">
      <alignment horizontal="center" vertical="center"/>
      <protection/>
    </xf>
    <xf numFmtId="0" fontId="41" fillId="0" borderId="0" xfId="74" applyFont="1" applyBorder="1" applyAlignment="1">
      <alignment horizontal="center" vertical="center"/>
      <protection/>
    </xf>
    <xf numFmtId="0" fontId="41" fillId="0" borderId="25" xfId="74" applyFont="1" applyBorder="1" applyAlignment="1">
      <alignment horizontal="center" vertical="center"/>
      <protection/>
    </xf>
    <xf numFmtId="0" fontId="31" fillId="0" borderId="0" xfId="74" applyFont="1" applyBorder="1" applyAlignment="1">
      <alignment horizontal="left" vertical="center"/>
      <protection/>
    </xf>
    <xf numFmtId="0" fontId="28" fillId="0" borderId="24" xfId="74" applyFont="1" applyBorder="1" applyAlignment="1">
      <alignment horizontal="center" vertical="center"/>
      <protection/>
    </xf>
    <xf numFmtId="0" fontId="28" fillId="0" borderId="0" xfId="74" applyFont="1" applyBorder="1" applyAlignment="1">
      <alignment horizontal="center" vertical="center"/>
      <protection/>
    </xf>
    <xf numFmtId="0" fontId="28" fillId="0" borderId="25" xfId="74" applyFont="1" applyBorder="1" applyAlignment="1">
      <alignment horizontal="center" vertical="center"/>
      <protection/>
    </xf>
    <xf numFmtId="0" fontId="29" fillId="0" borderId="24" xfId="74" applyFont="1" applyBorder="1" applyAlignment="1">
      <alignment horizontal="center" vertical="center"/>
      <protection/>
    </xf>
    <xf numFmtId="0" fontId="29" fillId="0" borderId="0" xfId="74" applyFont="1" applyBorder="1" applyAlignment="1">
      <alignment horizontal="center" vertical="center"/>
      <protection/>
    </xf>
    <xf numFmtId="0" fontId="29" fillId="0" borderId="25" xfId="74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50" fillId="0" borderId="23" xfId="0" applyFont="1" applyBorder="1" applyAlignment="1">
      <alignment horizontal="center"/>
    </xf>
    <xf numFmtId="0" fontId="50" fillId="0" borderId="19" xfId="0" applyFont="1" applyBorder="1" applyAlignment="1">
      <alignment horizontal="center"/>
    </xf>
    <xf numFmtId="0" fontId="50" fillId="0" borderId="20" xfId="0" applyFont="1" applyBorder="1" applyAlignment="1">
      <alignment horizontal="center"/>
    </xf>
    <xf numFmtId="0" fontId="33" fillId="0" borderId="2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22" xfId="0" applyFont="1" applyBorder="1" applyAlignment="1">
      <alignment horizontal="center"/>
    </xf>
    <xf numFmtId="0" fontId="32" fillId="0" borderId="0" xfId="0" applyFont="1" applyAlignment="1">
      <alignment horizontal="center" vertical="center" wrapText="1"/>
    </xf>
    <xf numFmtId="41" fontId="22" fillId="0" borderId="14" xfId="0" applyNumberFormat="1" applyFont="1" applyBorder="1" applyAlignment="1">
      <alignment horizontal="center" vertical="center"/>
    </xf>
    <xf numFmtId="41" fontId="22" fillId="24" borderId="1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 vertical="center"/>
    </xf>
    <xf numFmtId="0" fontId="21" fillId="0" borderId="17" xfId="0" applyFont="1" applyFill="1" applyBorder="1" applyAlignment="1">
      <alignment horizontal="right" shrinkToFit="1"/>
    </xf>
    <xf numFmtId="0" fontId="21" fillId="0" borderId="17" xfId="0" applyFont="1" applyFill="1" applyBorder="1" applyAlignment="1">
      <alignment horizontal="right"/>
    </xf>
    <xf numFmtId="41" fontId="22" fillId="0" borderId="14" xfId="0" applyNumberFormat="1" applyFont="1" applyFill="1" applyBorder="1" applyAlignment="1">
      <alignment horizontal="center" vertical="center"/>
    </xf>
    <xf numFmtId="9" fontId="21" fillId="24" borderId="29" xfId="43" applyFont="1" applyFill="1" applyBorder="1" applyAlignment="1">
      <alignment horizontal="center" vertical="center" shrinkToFit="1"/>
    </xf>
    <xf numFmtId="9" fontId="21" fillId="24" borderId="31" xfId="43" applyFont="1" applyFill="1" applyBorder="1" applyAlignment="1">
      <alignment horizontal="center" vertical="center" shrinkToFit="1"/>
    </xf>
    <xf numFmtId="38" fontId="23" fillId="24" borderId="29" xfId="0" applyNumberFormat="1" applyFont="1" applyFill="1" applyBorder="1" applyAlignment="1">
      <alignment horizontal="center" vertical="center" wrapText="1" shrinkToFit="1"/>
    </xf>
    <xf numFmtId="38" fontId="23" fillId="24" borderId="31" xfId="0" applyNumberFormat="1" applyFont="1" applyFill="1" applyBorder="1" applyAlignment="1">
      <alignment horizontal="center" vertical="center" wrapText="1" shrinkToFit="1"/>
    </xf>
    <xf numFmtId="9" fontId="21" fillId="24" borderId="30" xfId="43" applyFont="1" applyFill="1" applyBorder="1" applyAlignment="1">
      <alignment horizontal="center" vertical="center" shrinkToFit="1"/>
    </xf>
    <xf numFmtId="9" fontId="21" fillId="24" borderId="13" xfId="43" applyFont="1" applyFill="1" applyBorder="1" applyAlignment="1">
      <alignment horizontal="center" vertical="center" shrinkToFit="1"/>
    </xf>
    <xf numFmtId="41" fontId="21" fillId="24" borderId="29" xfId="43" applyNumberFormat="1" applyFont="1" applyFill="1" applyBorder="1" applyAlignment="1">
      <alignment horizontal="left" vertical="center" shrinkToFit="1"/>
    </xf>
    <xf numFmtId="41" fontId="21" fillId="24" borderId="31" xfId="43" applyNumberFormat="1" applyFont="1" applyFill="1" applyBorder="1" applyAlignment="1">
      <alignment horizontal="left" vertical="center" shrinkToFit="1"/>
    </xf>
    <xf numFmtId="38" fontId="23" fillId="24" borderId="29" xfId="0" applyNumberFormat="1" applyFont="1" applyFill="1" applyBorder="1" applyAlignment="1">
      <alignment horizontal="left" vertical="center" wrapText="1" shrinkToFit="1"/>
    </xf>
    <xf numFmtId="38" fontId="23" fillId="24" borderId="31" xfId="0" applyNumberFormat="1" applyFont="1" applyFill="1" applyBorder="1" applyAlignment="1">
      <alignment horizontal="left" vertical="center" wrapText="1" shrinkToFit="1"/>
    </xf>
    <xf numFmtId="0" fontId="26" fillId="0" borderId="0" xfId="0" applyFont="1" applyFill="1" applyAlignment="1">
      <alignment horizontal="left" vertical="center"/>
    </xf>
    <xf numFmtId="41" fontId="21" fillId="0" borderId="14" xfId="0" applyNumberFormat="1" applyFont="1" applyFill="1" applyBorder="1" applyAlignment="1">
      <alignment horizontal="center" vertical="center"/>
    </xf>
    <xf numFmtId="41" fontId="20" fillId="0" borderId="14" xfId="0" applyNumberFormat="1" applyFont="1" applyFill="1" applyBorder="1" applyAlignment="1">
      <alignment horizontal="center" vertical="center"/>
    </xf>
    <xf numFmtId="41" fontId="20" fillId="0" borderId="30" xfId="0" applyNumberFormat="1" applyFont="1" applyFill="1" applyBorder="1" applyAlignment="1">
      <alignment horizontal="center" vertical="center"/>
    </xf>
    <xf numFmtId="38" fontId="23" fillId="0" borderId="17" xfId="0" applyNumberFormat="1" applyFont="1" applyFill="1" applyBorder="1" applyAlignment="1">
      <alignment horizontal="right" shrinkToFit="1"/>
    </xf>
    <xf numFmtId="0" fontId="23" fillId="0" borderId="29" xfId="0" applyFont="1" applyFill="1" applyBorder="1" applyAlignment="1">
      <alignment horizontal="center" vertical="center" shrinkToFit="1"/>
    </xf>
    <xf numFmtId="0" fontId="23" fillId="0" borderId="31" xfId="0" applyFont="1" applyFill="1" applyBorder="1" applyAlignment="1">
      <alignment horizontal="center" vertical="center" shrinkToFit="1"/>
    </xf>
    <xf numFmtId="0" fontId="23" fillId="0" borderId="16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center" vertical="center" shrinkToFit="1"/>
    </xf>
    <xf numFmtId="9" fontId="21" fillId="24" borderId="14" xfId="43" applyFont="1" applyFill="1" applyBorder="1" applyAlignment="1">
      <alignment horizontal="center" vertical="center" shrinkToFit="1"/>
    </xf>
    <xf numFmtId="9" fontId="21" fillId="24" borderId="27" xfId="43" applyFont="1" applyFill="1" applyBorder="1" applyAlignment="1">
      <alignment horizontal="center" vertical="center" shrinkToFit="1"/>
    </xf>
    <xf numFmtId="41" fontId="20" fillId="24" borderId="14" xfId="0" applyNumberFormat="1" applyFont="1" applyFill="1" applyBorder="1" applyAlignment="1">
      <alignment horizontal="center" vertical="center"/>
    </xf>
    <xf numFmtId="41" fontId="20" fillId="24" borderId="30" xfId="0" applyNumberFormat="1" applyFont="1" applyFill="1" applyBorder="1" applyAlignment="1">
      <alignment horizontal="center" vertical="center"/>
    </xf>
  </cellXfs>
  <cellStyles count="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백분율 2" xfId="44"/>
    <cellStyle name="백분율 2 2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쉼표 [0] 2 2" xfId="52"/>
    <cellStyle name="쉼표 [0] 3" xfId="53"/>
    <cellStyle name="연결된 셀" xfId="54"/>
    <cellStyle name="Followed Hyperlink" xfId="55"/>
    <cellStyle name="요약" xfId="56"/>
    <cellStyle name="입력" xfId="57"/>
    <cellStyle name="제목" xfId="58"/>
    <cellStyle name="제목 1" xfId="59"/>
    <cellStyle name="제목 2" xfId="60"/>
    <cellStyle name="제목 3" xfId="61"/>
    <cellStyle name="제목 4" xfId="62"/>
    <cellStyle name="좋음" xfId="63"/>
    <cellStyle name="출력" xfId="64"/>
    <cellStyle name="Currency" xfId="65"/>
    <cellStyle name="Currency [0]" xfId="66"/>
    <cellStyle name="표준 2" xfId="67"/>
    <cellStyle name="표준 2 2" xfId="68"/>
    <cellStyle name="표준 3" xfId="69"/>
    <cellStyle name="표준 4" xfId="70"/>
    <cellStyle name="표준 5" xfId="71"/>
    <cellStyle name="표준 6" xfId="72"/>
    <cellStyle name="표준 7" xfId="73"/>
    <cellStyle name="표준_2009년 예산안(동구원스탑) 2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</xdr:colOff>
      <xdr:row>13</xdr:row>
      <xdr:rowOff>19050</xdr:rowOff>
    </xdr:from>
    <xdr:to>
      <xdr:col>2</xdr:col>
      <xdr:colOff>542925</xdr:colOff>
      <xdr:row>13</xdr:row>
      <xdr:rowOff>523875</xdr:rowOff>
    </xdr:to>
    <xdr:pic>
      <xdr:nvPicPr>
        <xdr:cNvPr id="1" name="Picture 1" descr="진명마크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4676775"/>
          <a:ext cx="6858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4"/>
  <sheetViews>
    <sheetView zoomScalePageLayoutView="0" workbookViewId="0" topLeftCell="A1">
      <selection activeCell="A7" sqref="A7"/>
    </sheetView>
  </sheetViews>
  <sheetFormatPr defaultColWidth="8.88671875" defaultRowHeight="13.5"/>
  <cols>
    <col min="1" max="10" width="8.88671875" style="6" customWidth="1"/>
    <col min="11" max="11" width="6.4453125" style="6" customWidth="1"/>
    <col min="12" max="12" width="15.3359375" style="6" customWidth="1"/>
    <col min="13" max="16384" width="8.88671875" style="6" customWidth="1"/>
  </cols>
  <sheetData>
    <row r="1" spans="1:12" ht="18.75">
      <c r="A1" s="81"/>
      <c r="B1" s="68"/>
      <c r="C1" s="68"/>
      <c r="D1" s="68"/>
      <c r="E1" s="68"/>
      <c r="F1" s="68"/>
      <c r="G1" s="68"/>
      <c r="H1" s="69"/>
      <c r="I1" s="69"/>
      <c r="J1" s="69"/>
      <c r="K1" s="69"/>
      <c r="L1" s="70"/>
    </row>
    <row r="2" spans="1:12" ht="34.5" customHeight="1">
      <c r="A2" s="307" t="s">
        <v>375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9"/>
    </row>
    <row r="3" spans="1:12" ht="13.5">
      <c r="A3" s="82"/>
      <c r="B3" s="74"/>
      <c r="C3" s="74"/>
      <c r="D3" s="74"/>
      <c r="E3" s="74"/>
      <c r="F3" s="74"/>
      <c r="G3" s="74"/>
      <c r="H3" s="74"/>
      <c r="I3" s="74"/>
      <c r="J3" s="74"/>
      <c r="K3" s="74"/>
      <c r="L3" s="83"/>
    </row>
    <row r="4" spans="1:12" ht="13.5">
      <c r="A4" s="82"/>
      <c r="B4" s="74"/>
      <c r="C4" s="74"/>
      <c r="D4" s="74"/>
      <c r="E4" s="74"/>
      <c r="F4" s="74"/>
      <c r="G4" s="74"/>
      <c r="H4" s="74"/>
      <c r="I4" s="74"/>
      <c r="J4" s="74"/>
      <c r="K4" s="74"/>
      <c r="L4" s="83"/>
    </row>
    <row r="5" spans="1:12" ht="13.5">
      <c r="A5" s="82"/>
      <c r="B5" s="74"/>
      <c r="C5" s="74"/>
      <c r="D5" s="74"/>
      <c r="E5" s="74"/>
      <c r="F5" s="74"/>
      <c r="G5" s="74"/>
      <c r="H5" s="74"/>
      <c r="I5" s="74"/>
      <c r="J5" s="74"/>
      <c r="K5" s="74"/>
      <c r="L5" s="83"/>
    </row>
    <row r="6" spans="1:12" ht="82.5" customHeight="1">
      <c r="A6" s="82"/>
      <c r="B6" s="310" t="s">
        <v>376</v>
      </c>
      <c r="C6" s="310"/>
      <c r="D6" s="310"/>
      <c r="E6" s="310"/>
      <c r="F6" s="310"/>
      <c r="G6" s="310"/>
      <c r="H6" s="310"/>
      <c r="I6" s="310"/>
      <c r="J6" s="310"/>
      <c r="K6" s="310"/>
      <c r="L6" s="83"/>
    </row>
    <row r="7" spans="1:12" ht="41.25" customHeight="1">
      <c r="A7" s="82"/>
      <c r="B7" s="311" t="s">
        <v>377</v>
      </c>
      <c r="C7" s="311"/>
      <c r="D7" s="311"/>
      <c r="E7" s="311"/>
      <c r="F7" s="311"/>
      <c r="G7" s="311"/>
      <c r="H7" s="311"/>
      <c r="I7" s="311"/>
      <c r="J7" s="311"/>
      <c r="K7" s="311"/>
      <c r="L7" s="83"/>
    </row>
    <row r="8" spans="1:12" ht="13.5">
      <c r="A8" s="82"/>
      <c r="B8" s="74"/>
      <c r="C8" s="74"/>
      <c r="D8" s="74"/>
      <c r="E8" s="74"/>
      <c r="F8" s="74"/>
      <c r="G8" s="74"/>
      <c r="H8" s="74"/>
      <c r="I8" s="74"/>
      <c r="J8" s="74"/>
      <c r="K8" s="74"/>
      <c r="L8" s="83"/>
    </row>
    <row r="9" spans="1:12" ht="13.5">
      <c r="A9" s="82"/>
      <c r="B9" s="74"/>
      <c r="C9" s="74"/>
      <c r="D9" s="74"/>
      <c r="E9" s="74"/>
      <c r="F9" s="74"/>
      <c r="G9" s="74"/>
      <c r="H9" s="74"/>
      <c r="I9" s="74"/>
      <c r="J9" s="74"/>
      <c r="K9" s="74"/>
      <c r="L9" s="83"/>
    </row>
    <row r="10" spans="1:12" ht="13.5">
      <c r="A10" s="82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83"/>
    </row>
    <row r="11" spans="1:12" ht="13.5">
      <c r="A11" s="82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83"/>
    </row>
    <row r="12" spans="1:12" ht="13.5">
      <c r="A12" s="82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83"/>
    </row>
    <row r="13" spans="1:12" ht="81.75" customHeight="1">
      <c r="A13" s="82"/>
      <c r="B13" s="74"/>
      <c r="C13" s="74"/>
      <c r="D13" s="74"/>
      <c r="E13" s="74"/>
      <c r="F13" s="74"/>
      <c r="G13" s="74"/>
      <c r="H13" s="74"/>
      <c r="I13" s="74"/>
      <c r="J13" s="74"/>
      <c r="K13" s="306"/>
      <c r="L13" s="83"/>
    </row>
    <row r="14" spans="1:12" ht="41.25" customHeight="1">
      <c r="A14" s="312" t="s">
        <v>378</v>
      </c>
      <c r="B14" s="311"/>
      <c r="C14" s="311"/>
      <c r="D14" s="311"/>
      <c r="E14" s="311"/>
      <c r="F14" s="311"/>
      <c r="G14" s="311"/>
      <c r="H14" s="311"/>
      <c r="I14" s="311"/>
      <c r="J14" s="311"/>
      <c r="K14" s="311"/>
      <c r="L14" s="313"/>
    </row>
    <row r="15" spans="1:12" ht="33.75">
      <c r="A15" s="314"/>
      <c r="B15" s="315"/>
      <c r="C15" s="315"/>
      <c r="D15" s="315"/>
      <c r="E15" s="315"/>
      <c r="F15" s="315"/>
      <c r="G15" s="315"/>
      <c r="H15" s="315"/>
      <c r="I15" s="315"/>
      <c r="J15" s="315"/>
      <c r="K15" s="315"/>
      <c r="L15" s="316"/>
    </row>
    <row r="16" spans="1:12" ht="14.25" thickBot="1">
      <c r="A16" s="84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2"/>
    </row>
    <row r="17" spans="1:7" ht="13.5">
      <c r="A17" s="7"/>
      <c r="B17" s="7" t="s">
        <v>1</v>
      </c>
      <c r="C17" s="7"/>
      <c r="D17" s="7"/>
      <c r="E17" s="7"/>
      <c r="F17" s="7"/>
      <c r="G17" s="7"/>
    </row>
    <row r="31" spans="1:7" ht="13.5">
      <c r="A31" s="8"/>
      <c r="B31" s="8"/>
      <c r="C31" s="8"/>
      <c r="D31" s="8"/>
      <c r="E31" s="8"/>
      <c r="F31" s="8"/>
      <c r="G31" s="8"/>
    </row>
    <row r="44" spans="1:7" ht="13.5">
      <c r="A44" s="8"/>
      <c r="B44" s="8"/>
      <c r="C44" s="8"/>
      <c r="D44" s="8"/>
      <c r="E44" s="8"/>
      <c r="F44" s="8"/>
      <c r="G44" s="8"/>
    </row>
    <row r="57" spans="1:7" ht="13.5">
      <c r="A57" s="8"/>
      <c r="B57" s="8"/>
      <c r="C57" s="8"/>
      <c r="D57" s="8"/>
      <c r="E57" s="8"/>
      <c r="F57" s="8"/>
      <c r="G57" s="8"/>
    </row>
    <row r="75" spans="1:7" ht="13.5">
      <c r="A75" s="8"/>
      <c r="B75" s="8"/>
      <c r="C75" s="8"/>
      <c r="D75" s="8"/>
      <c r="E75" s="8"/>
      <c r="F75" s="8"/>
      <c r="G75" s="8"/>
    </row>
    <row r="88" spans="1:7" ht="13.5">
      <c r="A88" s="8"/>
      <c r="B88" s="8"/>
      <c r="C88" s="8"/>
      <c r="D88" s="8"/>
      <c r="E88" s="8"/>
      <c r="F88" s="8"/>
      <c r="G88" s="8"/>
    </row>
    <row r="103" spans="1:7" ht="13.5">
      <c r="A103" s="8"/>
      <c r="B103" s="8"/>
      <c r="C103" s="8"/>
      <c r="D103" s="8"/>
      <c r="E103" s="8"/>
      <c r="F103" s="8"/>
      <c r="G103" s="8"/>
    </row>
    <row r="120" spans="1:7" ht="13.5">
      <c r="A120" s="8"/>
      <c r="B120" s="8"/>
      <c r="C120" s="8"/>
      <c r="D120" s="8"/>
      <c r="E120" s="8"/>
      <c r="F120" s="8"/>
      <c r="G120" s="8"/>
    </row>
    <row r="136" spans="1:7" ht="13.5">
      <c r="A136" s="8"/>
      <c r="B136" s="8"/>
      <c r="C136" s="8"/>
      <c r="D136" s="8"/>
      <c r="E136" s="8"/>
      <c r="F136" s="8"/>
      <c r="G136" s="8"/>
    </row>
    <row r="152" spans="1:7" ht="13.5">
      <c r="A152" s="8"/>
      <c r="B152" s="8"/>
      <c r="C152" s="8"/>
      <c r="D152" s="8"/>
      <c r="E152" s="8"/>
      <c r="F152" s="8"/>
      <c r="G152" s="8"/>
    </row>
    <row r="165" spans="1:7" ht="13.5">
      <c r="A165" s="8"/>
      <c r="B165" s="8"/>
      <c r="C165" s="8"/>
      <c r="D165" s="8"/>
      <c r="E165" s="8"/>
      <c r="F165" s="8"/>
      <c r="G165" s="8"/>
    </row>
    <row r="179" spans="1:7" ht="13.5">
      <c r="A179" s="8"/>
      <c r="B179" s="8"/>
      <c r="C179" s="8"/>
      <c r="D179" s="8"/>
      <c r="E179" s="8"/>
      <c r="F179" s="8"/>
      <c r="G179" s="8"/>
    </row>
    <row r="194" spans="1:7" ht="13.5">
      <c r="A194" s="8"/>
      <c r="B194" s="8"/>
      <c r="C194" s="8"/>
      <c r="D194" s="8"/>
      <c r="E194" s="8"/>
      <c r="F194" s="8"/>
      <c r="G194" s="8"/>
    </row>
  </sheetData>
  <sheetProtection/>
  <mergeCells count="5">
    <mergeCell ref="A2:L2"/>
    <mergeCell ref="B6:K6"/>
    <mergeCell ref="B7:K7"/>
    <mergeCell ref="A14:L14"/>
    <mergeCell ref="A15:L15"/>
  </mergeCells>
  <printOptions/>
  <pageMargins left="0.96" right="0.3937007874015748" top="0.984251968503937" bottom="0.8267716535433072" header="0.5118110236220472" footer="0.5118110236220472"/>
  <pageSetup firstPageNumber="1" useFirstPageNumber="1"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252"/>
  <sheetViews>
    <sheetView zoomScale="120" zoomScaleNormal="120" zoomScalePageLayoutView="0" workbookViewId="0" topLeftCell="A103">
      <selection activeCell="K188" sqref="K188"/>
    </sheetView>
  </sheetViews>
  <sheetFormatPr defaultColWidth="8.88671875" defaultRowHeight="13.5"/>
  <cols>
    <col min="1" max="3" width="7.3359375" style="13" customWidth="1"/>
    <col min="4" max="4" width="7.3359375" style="20" customWidth="1"/>
    <col min="5" max="7" width="7.3359375" style="9" customWidth="1"/>
    <col min="8" max="8" width="55.99609375" style="1" customWidth="1"/>
    <col min="9" max="9" width="9.4453125" style="12" customWidth="1"/>
    <col min="10" max="11" width="9.88671875" style="29" customWidth="1"/>
    <col min="12" max="16384" width="8.88671875" style="12" customWidth="1"/>
  </cols>
  <sheetData>
    <row r="1" spans="1:9" ht="30" customHeight="1">
      <c r="A1" s="353" t="s">
        <v>92</v>
      </c>
      <c r="B1" s="353"/>
      <c r="C1" s="161"/>
      <c r="E1" s="163"/>
      <c r="F1" s="163"/>
      <c r="G1" s="163"/>
      <c r="H1" s="235"/>
      <c r="I1" s="9"/>
    </row>
    <row r="2" spans="1:9" ht="16.5" customHeight="1">
      <c r="A2" s="236"/>
      <c r="B2" s="164"/>
      <c r="I2" s="9"/>
    </row>
    <row r="3" spans="1:11" s="14" customFormat="1" ht="19.5" customHeight="1">
      <c r="A3" s="364" t="s">
        <v>18</v>
      </c>
      <c r="B3" s="364" t="s">
        <v>19</v>
      </c>
      <c r="C3" s="364" t="s">
        <v>20</v>
      </c>
      <c r="D3" s="108" t="s">
        <v>94</v>
      </c>
      <c r="E3" s="108" t="s">
        <v>94</v>
      </c>
      <c r="F3" s="364" t="s">
        <v>47</v>
      </c>
      <c r="G3" s="365"/>
      <c r="H3" s="358" t="s">
        <v>373</v>
      </c>
      <c r="I3" s="359"/>
      <c r="J3" s="30"/>
      <c r="K3" s="30"/>
    </row>
    <row r="4" spans="1:11" s="14" customFormat="1" ht="19.5" customHeight="1">
      <c r="A4" s="364"/>
      <c r="B4" s="364"/>
      <c r="C4" s="364"/>
      <c r="D4" s="166" t="s">
        <v>187</v>
      </c>
      <c r="E4" s="110" t="s">
        <v>196</v>
      </c>
      <c r="F4" s="237" t="s">
        <v>48</v>
      </c>
      <c r="G4" s="238" t="s">
        <v>49</v>
      </c>
      <c r="H4" s="360"/>
      <c r="I4" s="361"/>
      <c r="J4" s="30"/>
      <c r="K4" s="30"/>
    </row>
    <row r="5" spans="1:11" s="4" customFormat="1" ht="19.5" customHeight="1">
      <c r="A5" s="117" t="s">
        <v>8</v>
      </c>
      <c r="B5" s="117"/>
      <c r="C5" s="117"/>
      <c r="D5" s="168">
        <f>D6+D123+D139+D180+D186+D195+D203+D207</f>
        <v>2470876</v>
      </c>
      <c r="E5" s="168">
        <f>E6+E123+E139+E180+E186+E195+E203+E207</f>
        <v>2488914</v>
      </c>
      <c r="F5" s="169">
        <f>E5-D5</f>
        <v>18038</v>
      </c>
      <c r="G5" s="170">
        <f>F5/D5</f>
        <v>0.007300244933375856</v>
      </c>
      <c r="H5" s="362"/>
      <c r="I5" s="362"/>
      <c r="J5" s="31"/>
      <c r="K5" s="31"/>
    </row>
    <row r="6" spans="1:11" s="4" customFormat="1" ht="19.5" customHeight="1">
      <c r="A6" s="121" t="s">
        <v>9</v>
      </c>
      <c r="B6" s="117"/>
      <c r="C6" s="117"/>
      <c r="D6" s="239">
        <f>D7+D48+D58</f>
        <v>1988751</v>
      </c>
      <c r="E6" s="239">
        <f>E7+E48+E58</f>
        <v>1985696</v>
      </c>
      <c r="F6" s="175" t="s">
        <v>192</v>
      </c>
      <c r="G6" s="231" t="s">
        <v>193</v>
      </c>
      <c r="H6" s="362"/>
      <c r="I6" s="362"/>
      <c r="J6" s="31"/>
      <c r="K6" s="31"/>
    </row>
    <row r="7" spans="1:11" s="4" customFormat="1" ht="19.5" customHeight="1">
      <c r="A7" s="137"/>
      <c r="B7" s="121" t="s">
        <v>10</v>
      </c>
      <c r="C7" s="117"/>
      <c r="D7" s="239">
        <f>D8+D11+D21+D26+D33</f>
        <v>1728031</v>
      </c>
      <c r="E7" s="239">
        <f>E8+E11+E21+E26+E33</f>
        <v>1736976</v>
      </c>
      <c r="F7" s="169">
        <f>E7-D7</f>
        <v>8945</v>
      </c>
      <c r="G7" s="170">
        <f>F7/D7</f>
        <v>0.005176411765761147</v>
      </c>
      <c r="H7" s="363"/>
      <c r="I7" s="363"/>
      <c r="J7" s="31"/>
      <c r="K7" s="31">
        <v>40700</v>
      </c>
    </row>
    <row r="8" spans="1:11" s="4" customFormat="1" ht="11.25" customHeight="1">
      <c r="A8" s="137"/>
      <c r="B8" s="137"/>
      <c r="C8" s="121" t="s">
        <v>11</v>
      </c>
      <c r="D8" s="240">
        <v>1045580</v>
      </c>
      <c r="E8" s="240">
        <v>1045580</v>
      </c>
      <c r="F8" s="169">
        <f>E8-D8</f>
        <v>0</v>
      </c>
      <c r="G8" s="170">
        <f>F8/D8</f>
        <v>0</v>
      </c>
      <c r="H8" s="241" t="s">
        <v>372</v>
      </c>
      <c r="I8" s="242"/>
      <c r="J8" s="31"/>
      <c r="K8" s="31"/>
    </row>
    <row r="9" spans="1:11" s="4" customFormat="1" ht="11.25" customHeight="1">
      <c r="A9" s="137"/>
      <c r="B9" s="137"/>
      <c r="C9" s="137"/>
      <c r="D9" s="243"/>
      <c r="E9" s="243"/>
      <c r="F9" s="201"/>
      <c r="G9" s="244"/>
      <c r="H9" s="245"/>
      <c r="I9" s="246">
        <f>SUM(I10:I10)</f>
        <v>1045579680</v>
      </c>
      <c r="J9" s="31"/>
      <c r="K9" s="31"/>
    </row>
    <row r="10" spans="1:11" s="4" customFormat="1" ht="11.25" customHeight="1">
      <c r="A10" s="137"/>
      <c r="B10" s="137"/>
      <c r="C10" s="137"/>
      <c r="D10" s="243"/>
      <c r="E10" s="243"/>
      <c r="F10" s="201"/>
      <c r="G10" s="244"/>
      <c r="H10" s="247" t="s">
        <v>139</v>
      </c>
      <c r="I10" s="246">
        <f>87131640*12</f>
        <v>1045579680</v>
      </c>
      <c r="J10" s="31"/>
      <c r="K10" s="31"/>
    </row>
    <row r="11" spans="1:11" s="4" customFormat="1" ht="14.25" customHeight="1">
      <c r="A11" s="248"/>
      <c r="B11" s="248"/>
      <c r="C11" s="121" t="s">
        <v>29</v>
      </c>
      <c r="D11" s="240">
        <v>324132</v>
      </c>
      <c r="E11" s="240">
        <v>324132</v>
      </c>
      <c r="F11" s="169">
        <f>E11-D11</f>
        <v>0</v>
      </c>
      <c r="G11" s="170">
        <f>F11/D11</f>
        <v>0</v>
      </c>
      <c r="H11" s="249" t="s">
        <v>30</v>
      </c>
      <c r="I11" s="250"/>
      <c r="J11" s="31"/>
      <c r="K11" s="31"/>
    </row>
    <row r="12" spans="1:11" s="4" customFormat="1" ht="14.25" customHeight="1">
      <c r="A12" s="137"/>
      <c r="B12" s="137"/>
      <c r="C12" s="137"/>
      <c r="D12" s="243"/>
      <c r="E12" s="243"/>
      <c r="F12" s="201"/>
      <c r="G12" s="244"/>
      <c r="H12" s="251"/>
      <c r="I12" s="246">
        <f>SUM(I13:I20)</f>
        <v>324131480</v>
      </c>
      <c r="J12" s="31"/>
      <c r="K12" s="31"/>
    </row>
    <row r="13" spans="1:11" s="4" customFormat="1" ht="14.25" customHeight="1">
      <c r="A13" s="137"/>
      <c r="B13" s="137"/>
      <c r="C13" s="137"/>
      <c r="D13" s="243"/>
      <c r="E13" s="243"/>
      <c r="F13" s="201"/>
      <c r="G13" s="244"/>
      <c r="H13" s="247" t="s">
        <v>135</v>
      </c>
      <c r="I13" s="246">
        <f>100000*42*12</f>
        <v>50400000</v>
      </c>
      <c r="J13" s="31"/>
      <c r="K13" s="31"/>
    </row>
    <row r="14" spans="1:11" s="4" customFormat="1" ht="14.25" customHeight="1">
      <c r="A14" s="137"/>
      <c r="B14" s="137"/>
      <c r="C14" s="137"/>
      <c r="D14" s="243"/>
      <c r="E14" s="243"/>
      <c r="F14" s="201"/>
      <c r="G14" s="244"/>
      <c r="H14" s="247" t="s">
        <v>107</v>
      </c>
      <c r="I14" s="246">
        <f>120000*40*12</f>
        <v>57600000</v>
      </c>
      <c r="J14" s="31"/>
      <c r="K14" s="31"/>
    </row>
    <row r="15" spans="1:11" s="4" customFormat="1" ht="14.25" customHeight="1">
      <c r="A15" s="137"/>
      <c r="B15" s="137"/>
      <c r="C15" s="137"/>
      <c r="D15" s="243"/>
      <c r="E15" s="243"/>
      <c r="F15" s="201"/>
      <c r="G15" s="244"/>
      <c r="H15" s="247" t="s">
        <v>106</v>
      </c>
      <c r="I15" s="246">
        <f>120000*3*4</f>
        <v>1440000</v>
      </c>
      <c r="J15" s="31"/>
      <c r="K15" s="31"/>
    </row>
    <row r="16" spans="1:11" s="4" customFormat="1" ht="14.25" customHeight="1">
      <c r="A16" s="137"/>
      <c r="B16" s="137"/>
      <c r="C16" s="137"/>
      <c r="D16" s="243"/>
      <c r="E16" s="243"/>
      <c r="F16" s="201"/>
      <c r="G16" s="244"/>
      <c r="H16" s="247" t="s">
        <v>105</v>
      </c>
      <c r="I16" s="246">
        <f>150000*3*8</f>
        <v>3600000</v>
      </c>
      <c r="J16" s="31"/>
      <c r="K16" s="31"/>
    </row>
    <row r="17" spans="1:11" s="4" customFormat="1" ht="14.25" customHeight="1">
      <c r="A17" s="137"/>
      <c r="B17" s="137"/>
      <c r="C17" s="137"/>
      <c r="D17" s="243"/>
      <c r="E17" s="243"/>
      <c r="F17" s="201"/>
      <c r="G17" s="244"/>
      <c r="H17" s="247" t="s">
        <v>104</v>
      </c>
      <c r="I17" s="246">
        <f>150000*12*12</f>
        <v>21600000</v>
      </c>
      <c r="J17" s="31"/>
      <c r="K17" s="31"/>
    </row>
    <row r="18" spans="1:11" s="4" customFormat="1" ht="14.25" customHeight="1">
      <c r="A18" s="137"/>
      <c r="B18" s="137"/>
      <c r="C18" s="137"/>
      <c r="D18" s="243"/>
      <c r="E18" s="243"/>
      <c r="F18" s="201"/>
      <c r="G18" s="244"/>
      <c r="H18" s="247" t="s">
        <v>141</v>
      </c>
      <c r="I18" s="246">
        <f>2150000*12</f>
        <v>25800000</v>
      </c>
      <c r="J18" s="31"/>
      <c r="K18" s="31"/>
    </row>
    <row r="19" spans="1:11" s="4" customFormat="1" ht="14.25" customHeight="1">
      <c r="A19" s="137"/>
      <c r="B19" s="137"/>
      <c r="C19" s="137"/>
      <c r="D19" s="243"/>
      <c r="E19" s="243"/>
      <c r="F19" s="201"/>
      <c r="G19" s="244"/>
      <c r="H19" s="247" t="s">
        <v>140</v>
      </c>
      <c r="I19" s="246">
        <f>11974290*12</f>
        <v>143691480</v>
      </c>
      <c r="J19" s="31"/>
      <c r="K19" s="31"/>
    </row>
    <row r="20" spans="1:11" s="4" customFormat="1" ht="14.25" customHeight="1">
      <c r="A20" s="137"/>
      <c r="B20" s="137"/>
      <c r="C20" s="137"/>
      <c r="D20" s="243"/>
      <c r="E20" s="243"/>
      <c r="F20" s="201"/>
      <c r="G20" s="252"/>
      <c r="H20" s="253" t="s">
        <v>194</v>
      </c>
      <c r="I20" s="254">
        <f>10000000*2</f>
        <v>20000000</v>
      </c>
      <c r="J20" s="31"/>
      <c r="K20" s="31"/>
    </row>
    <row r="21" spans="1:11" s="4" customFormat="1" ht="14.25" customHeight="1">
      <c r="A21" s="137"/>
      <c r="B21" s="137"/>
      <c r="C21" s="121" t="s">
        <v>169</v>
      </c>
      <c r="D21" s="240">
        <v>199800</v>
      </c>
      <c r="E21" s="240">
        <v>208745</v>
      </c>
      <c r="F21" s="175">
        <f>E21-D21</f>
        <v>8945</v>
      </c>
      <c r="G21" s="170">
        <f>F21/D21</f>
        <v>0.04476976976976977</v>
      </c>
      <c r="H21" s="255" t="s">
        <v>31</v>
      </c>
      <c r="I21" s="256"/>
      <c r="J21" s="31"/>
      <c r="K21" s="31"/>
    </row>
    <row r="22" spans="1:11" s="4" customFormat="1" ht="14.25" customHeight="1">
      <c r="A22" s="137"/>
      <c r="B22" s="137"/>
      <c r="C22" s="127"/>
      <c r="D22" s="243"/>
      <c r="E22" s="243"/>
      <c r="F22" s="201"/>
      <c r="G22" s="244"/>
      <c r="H22" s="255"/>
      <c r="I22" s="246">
        <f>SUM(I23:I25)</f>
        <v>208744860</v>
      </c>
      <c r="J22" s="31"/>
      <c r="K22" s="31"/>
    </row>
    <row r="23" spans="1:11" s="4" customFormat="1" ht="14.25" customHeight="1">
      <c r="A23" s="137"/>
      <c r="B23" s="137"/>
      <c r="C23" s="127"/>
      <c r="D23" s="243"/>
      <c r="E23" s="243"/>
      <c r="F23" s="201"/>
      <c r="G23" s="244"/>
      <c r="H23" s="257" t="s">
        <v>142</v>
      </c>
      <c r="I23" s="246">
        <f>9400000*12</f>
        <v>112800000</v>
      </c>
      <c r="J23" s="31"/>
      <c r="K23" s="31"/>
    </row>
    <row r="24" spans="1:11" s="4" customFormat="1" ht="14.25" customHeight="1">
      <c r="A24" s="137"/>
      <c r="B24" s="137"/>
      <c r="C24" s="127"/>
      <c r="D24" s="243"/>
      <c r="E24" s="243"/>
      <c r="F24" s="201"/>
      <c r="G24" s="244"/>
      <c r="H24" s="257" t="s">
        <v>202</v>
      </c>
      <c r="I24" s="246">
        <f>87000000*1</f>
        <v>87000000</v>
      </c>
      <c r="J24" s="31"/>
      <c r="K24" s="31"/>
    </row>
    <row r="25" spans="1:11" s="4" customFormat="1" ht="14.25" customHeight="1">
      <c r="A25" s="137"/>
      <c r="B25" s="137"/>
      <c r="C25" s="127"/>
      <c r="D25" s="243"/>
      <c r="E25" s="243"/>
      <c r="F25" s="201"/>
      <c r="G25" s="244"/>
      <c r="H25" s="257" t="s">
        <v>203</v>
      </c>
      <c r="I25" s="246">
        <f>8944860*1</f>
        <v>8944860</v>
      </c>
      <c r="J25" s="31"/>
      <c r="K25" s="31"/>
    </row>
    <row r="26" spans="1:11" s="4" customFormat="1" ht="14.25" customHeight="1">
      <c r="A26" s="137"/>
      <c r="B26" s="137"/>
      <c r="C26" s="121" t="s">
        <v>170</v>
      </c>
      <c r="D26" s="240">
        <v>126159</v>
      </c>
      <c r="E26" s="240">
        <v>126159</v>
      </c>
      <c r="F26" s="169">
        <f>E26-D26</f>
        <v>0</v>
      </c>
      <c r="G26" s="170">
        <f>F26/D26</f>
        <v>0</v>
      </c>
      <c r="H26" s="249" t="s">
        <v>52</v>
      </c>
      <c r="I26" s="250"/>
      <c r="J26" s="31"/>
      <c r="K26" s="31"/>
    </row>
    <row r="27" spans="1:11" s="4" customFormat="1" ht="14.25" customHeight="1">
      <c r="A27" s="137"/>
      <c r="B27" s="137"/>
      <c r="C27" s="127"/>
      <c r="D27" s="243"/>
      <c r="E27" s="243"/>
      <c r="F27" s="201"/>
      <c r="G27" s="244"/>
      <c r="H27" s="258"/>
      <c r="I27" s="246">
        <f>SUM(I28:I32)</f>
        <v>126159000</v>
      </c>
      <c r="J27" s="31"/>
      <c r="K27" s="31"/>
    </row>
    <row r="28" spans="1:11" s="4" customFormat="1" ht="14.25" customHeight="1">
      <c r="A28" s="137"/>
      <c r="B28" s="137"/>
      <c r="C28" s="127"/>
      <c r="D28" s="243"/>
      <c r="E28" s="243"/>
      <c r="F28" s="201"/>
      <c r="G28" s="244"/>
      <c r="H28" s="257" t="s">
        <v>143</v>
      </c>
      <c r="I28" s="246">
        <v>61637000</v>
      </c>
      <c r="J28" s="31"/>
      <c r="K28" s="31"/>
    </row>
    <row r="29" spans="1:11" s="4" customFormat="1" ht="14.25" customHeight="1">
      <c r="A29" s="137"/>
      <c r="B29" s="137"/>
      <c r="C29" s="127"/>
      <c r="D29" s="243"/>
      <c r="E29" s="243"/>
      <c r="F29" s="201"/>
      <c r="G29" s="244"/>
      <c r="H29" s="257" t="s">
        <v>144</v>
      </c>
      <c r="I29" s="246">
        <v>41914000</v>
      </c>
      <c r="J29" s="31"/>
      <c r="K29" s="31"/>
    </row>
    <row r="30" spans="1:11" s="4" customFormat="1" ht="14.25" customHeight="1">
      <c r="A30" s="137"/>
      <c r="B30" s="137"/>
      <c r="C30" s="127"/>
      <c r="D30" s="243"/>
      <c r="E30" s="243"/>
      <c r="F30" s="201"/>
      <c r="G30" s="244"/>
      <c r="H30" s="257" t="s">
        <v>146</v>
      </c>
      <c r="I30" s="246">
        <v>2746000</v>
      </c>
      <c r="J30" s="31"/>
      <c r="K30" s="31"/>
    </row>
    <row r="31" spans="1:11" s="4" customFormat="1" ht="14.25" customHeight="1">
      <c r="A31" s="137"/>
      <c r="B31" s="137"/>
      <c r="C31" s="127"/>
      <c r="D31" s="243"/>
      <c r="E31" s="243"/>
      <c r="F31" s="201"/>
      <c r="G31" s="244"/>
      <c r="H31" s="257" t="s">
        <v>147</v>
      </c>
      <c r="I31" s="246">
        <v>6164000</v>
      </c>
      <c r="J31" s="31"/>
      <c r="K31" s="31"/>
    </row>
    <row r="32" spans="1:11" s="4" customFormat="1" ht="14.25" customHeight="1">
      <c r="A32" s="138"/>
      <c r="B32" s="138"/>
      <c r="C32" s="155"/>
      <c r="D32" s="259"/>
      <c r="E32" s="259"/>
      <c r="F32" s="260"/>
      <c r="G32" s="261"/>
      <c r="H32" s="262" t="s">
        <v>145</v>
      </c>
      <c r="I32" s="254">
        <v>13698000</v>
      </c>
      <c r="J32" s="31"/>
      <c r="K32" s="31"/>
    </row>
    <row r="33" spans="1:11" s="4" customFormat="1" ht="12.75" customHeight="1">
      <c r="A33" s="248"/>
      <c r="B33" s="248"/>
      <c r="C33" s="248" t="s">
        <v>53</v>
      </c>
      <c r="D33" s="240">
        <v>32360</v>
      </c>
      <c r="E33" s="240">
        <v>32360</v>
      </c>
      <c r="F33" s="169">
        <f>E33-D33</f>
        <v>0</v>
      </c>
      <c r="G33" s="170">
        <f>F33/D33</f>
        <v>0</v>
      </c>
      <c r="H33" s="263" t="s">
        <v>54</v>
      </c>
      <c r="I33" s="264"/>
      <c r="J33" s="31"/>
      <c r="K33" s="31"/>
    </row>
    <row r="34" spans="1:11" s="4" customFormat="1" ht="12.75" customHeight="1">
      <c r="A34" s="137"/>
      <c r="B34" s="137"/>
      <c r="C34" s="137"/>
      <c r="D34" s="243"/>
      <c r="E34" s="243"/>
      <c r="F34" s="201"/>
      <c r="G34" s="244"/>
      <c r="H34" s="251"/>
      <c r="I34" s="246">
        <f>SUM(I35:I47)</f>
        <v>32360000</v>
      </c>
      <c r="J34" s="31"/>
      <c r="K34" s="31"/>
    </row>
    <row r="35" spans="1:11" s="4" customFormat="1" ht="12.75" customHeight="1">
      <c r="A35" s="137"/>
      <c r="B35" s="137"/>
      <c r="C35" s="137"/>
      <c r="D35" s="243"/>
      <c r="E35" s="243"/>
      <c r="F35" s="265"/>
      <c r="G35" s="266"/>
      <c r="H35" s="257" t="s">
        <v>204</v>
      </c>
      <c r="I35" s="246">
        <f>15000*62*2</f>
        <v>1860000</v>
      </c>
      <c r="J35" s="31"/>
      <c r="K35" s="31"/>
    </row>
    <row r="36" spans="1:11" s="4" customFormat="1" ht="12.75" customHeight="1">
      <c r="A36" s="137"/>
      <c r="B36" s="137"/>
      <c r="C36" s="137"/>
      <c r="D36" s="243"/>
      <c r="E36" s="243"/>
      <c r="F36" s="265"/>
      <c r="G36" s="266"/>
      <c r="H36" s="267" t="s">
        <v>205</v>
      </c>
      <c r="I36" s="246">
        <f>30000*62*2</f>
        <v>3720000</v>
      </c>
      <c r="J36" s="31"/>
      <c r="K36" s="31"/>
    </row>
    <row r="37" spans="1:11" s="4" customFormat="1" ht="12.75" customHeight="1">
      <c r="A37" s="137"/>
      <c r="B37" s="137"/>
      <c r="C37" s="137"/>
      <c r="D37" s="243"/>
      <c r="E37" s="243"/>
      <c r="F37" s="265"/>
      <c r="G37" s="266"/>
      <c r="H37" s="267" t="s">
        <v>206</v>
      </c>
      <c r="I37" s="246">
        <f>35000*120*1</f>
        <v>4200000</v>
      </c>
      <c r="J37" s="31"/>
      <c r="K37" s="31"/>
    </row>
    <row r="38" spans="1:11" s="4" customFormat="1" ht="12.75" customHeight="1">
      <c r="A38" s="137"/>
      <c r="B38" s="137"/>
      <c r="C38" s="137"/>
      <c r="D38" s="243"/>
      <c r="E38" s="243"/>
      <c r="F38" s="265"/>
      <c r="G38" s="266"/>
      <c r="H38" s="267" t="s">
        <v>111</v>
      </c>
      <c r="I38" s="246">
        <f>250000*12</f>
        <v>3000000</v>
      </c>
      <c r="J38" s="31"/>
      <c r="K38" s="31"/>
    </row>
    <row r="39" spans="1:11" s="4" customFormat="1" ht="12.75" customHeight="1">
      <c r="A39" s="137"/>
      <c r="B39" s="137"/>
      <c r="C39" s="137"/>
      <c r="D39" s="243"/>
      <c r="E39" s="243"/>
      <c r="F39" s="265"/>
      <c r="G39" s="266"/>
      <c r="H39" s="267" t="s">
        <v>136</v>
      </c>
      <c r="I39" s="246">
        <f>30000*62</f>
        <v>1860000</v>
      </c>
      <c r="J39" s="31"/>
      <c r="K39" s="31"/>
    </row>
    <row r="40" spans="1:11" s="4" customFormat="1" ht="12.75" customHeight="1">
      <c r="A40" s="137"/>
      <c r="B40" s="137"/>
      <c r="C40" s="137"/>
      <c r="D40" s="243"/>
      <c r="E40" s="243"/>
      <c r="F40" s="265"/>
      <c r="G40" s="266"/>
      <c r="H40" s="267" t="s">
        <v>127</v>
      </c>
      <c r="I40" s="246">
        <f>300000*12</f>
        <v>3600000</v>
      </c>
      <c r="J40" s="31"/>
      <c r="K40" s="31"/>
    </row>
    <row r="41" spans="1:11" s="4" customFormat="1" ht="12.75" customHeight="1">
      <c r="A41" s="137"/>
      <c r="B41" s="137"/>
      <c r="C41" s="137"/>
      <c r="D41" s="243"/>
      <c r="E41" s="243"/>
      <c r="F41" s="265"/>
      <c r="G41" s="266"/>
      <c r="H41" s="267" t="s">
        <v>207</v>
      </c>
      <c r="I41" s="246">
        <f>2000000*2</f>
        <v>4000000</v>
      </c>
      <c r="J41" s="31"/>
      <c r="K41" s="31"/>
    </row>
    <row r="42" spans="1:11" s="4" customFormat="1" ht="12.75" customHeight="1">
      <c r="A42" s="137"/>
      <c r="B42" s="137"/>
      <c r="C42" s="137"/>
      <c r="D42" s="243"/>
      <c r="E42" s="243"/>
      <c r="F42" s="265"/>
      <c r="G42" s="266"/>
      <c r="H42" s="267" t="s">
        <v>150</v>
      </c>
      <c r="I42" s="246">
        <f>50000*62</f>
        <v>3100000</v>
      </c>
      <c r="J42" s="31"/>
      <c r="K42" s="31"/>
    </row>
    <row r="43" spans="1:11" s="4" customFormat="1" ht="12.75" customHeight="1">
      <c r="A43" s="137"/>
      <c r="B43" s="137"/>
      <c r="C43" s="137"/>
      <c r="D43" s="243"/>
      <c r="E43" s="243"/>
      <c r="F43" s="265"/>
      <c r="G43" s="266"/>
      <c r="H43" s="267" t="s">
        <v>208</v>
      </c>
      <c r="I43" s="246">
        <f>600000*4*1</f>
        <v>2400000</v>
      </c>
      <c r="J43" s="31"/>
      <c r="K43" s="31"/>
    </row>
    <row r="44" spans="1:11" s="4" customFormat="1" ht="12.75" customHeight="1">
      <c r="A44" s="137"/>
      <c r="B44" s="137"/>
      <c r="C44" s="137"/>
      <c r="D44" s="243"/>
      <c r="E44" s="243"/>
      <c r="F44" s="265"/>
      <c r="G44" s="266"/>
      <c r="H44" s="267" t="s">
        <v>209</v>
      </c>
      <c r="I44" s="246">
        <f>100000*4*4</f>
        <v>1600000</v>
      </c>
      <c r="J44" s="31"/>
      <c r="K44" s="31"/>
    </row>
    <row r="45" spans="1:11" s="4" customFormat="1" ht="12.75" customHeight="1">
      <c r="A45" s="137"/>
      <c r="B45" s="137"/>
      <c r="C45" s="137"/>
      <c r="D45" s="243"/>
      <c r="E45" s="243"/>
      <c r="F45" s="265"/>
      <c r="G45" s="266"/>
      <c r="H45" s="267" t="s">
        <v>151</v>
      </c>
      <c r="I45" s="246">
        <f>10000*62</f>
        <v>620000</v>
      </c>
      <c r="J45" s="31"/>
      <c r="K45" s="31"/>
    </row>
    <row r="46" spans="1:11" s="4" customFormat="1" ht="12.75" customHeight="1">
      <c r="A46" s="137"/>
      <c r="B46" s="137"/>
      <c r="C46" s="137"/>
      <c r="D46" s="243"/>
      <c r="E46" s="243"/>
      <c r="F46" s="265"/>
      <c r="G46" s="266"/>
      <c r="H46" s="267" t="s">
        <v>210</v>
      </c>
      <c r="I46" s="246">
        <f>50000*4*4</f>
        <v>800000</v>
      </c>
      <c r="J46" s="31"/>
      <c r="K46" s="31"/>
    </row>
    <row r="47" spans="1:11" s="4" customFormat="1" ht="12.75" customHeight="1">
      <c r="A47" s="137"/>
      <c r="B47" s="137"/>
      <c r="C47" s="138"/>
      <c r="D47" s="259"/>
      <c r="E47" s="259"/>
      <c r="F47" s="260"/>
      <c r="G47" s="268"/>
      <c r="H47" s="269" t="s">
        <v>211</v>
      </c>
      <c r="I47" s="254">
        <f>40000*40*1</f>
        <v>1600000</v>
      </c>
      <c r="J47" s="31"/>
      <c r="K47" s="31"/>
    </row>
    <row r="48" spans="1:11" s="4" customFormat="1" ht="16.5" customHeight="1">
      <c r="A48" s="248"/>
      <c r="B48" s="248" t="s">
        <v>12</v>
      </c>
      <c r="C48" s="117"/>
      <c r="D48" s="239">
        <f>D49+D52</f>
        <v>10530</v>
      </c>
      <c r="E48" s="239">
        <f>E49+E52</f>
        <v>10530</v>
      </c>
      <c r="F48" s="175"/>
      <c r="G48" s="170">
        <f>F48/D48</f>
        <v>0</v>
      </c>
      <c r="H48" s="270"/>
      <c r="I48" s="271"/>
      <c r="J48" s="31"/>
      <c r="K48" s="31"/>
    </row>
    <row r="49" spans="1:11" s="4" customFormat="1" ht="16.5" customHeight="1">
      <c r="A49" s="137"/>
      <c r="B49" s="137"/>
      <c r="C49" s="127" t="s">
        <v>51</v>
      </c>
      <c r="D49" s="243">
        <v>7200</v>
      </c>
      <c r="E49" s="243">
        <v>7200</v>
      </c>
      <c r="F49" s="175"/>
      <c r="G49" s="170">
        <f>F49/D49</f>
        <v>0</v>
      </c>
      <c r="H49" s="263" t="s">
        <v>26</v>
      </c>
      <c r="I49" s="264"/>
      <c r="J49" s="31"/>
      <c r="K49" s="31"/>
    </row>
    <row r="50" spans="1:11" s="4" customFormat="1" ht="16.5" customHeight="1">
      <c r="A50" s="137"/>
      <c r="B50" s="137"/>
      <c r="C50" s="127"/>
      <c r="D50" s="243"/>
      <c r="E50" s="243"/>
      <c r="F50" s="265"/>
      <c r="G50" s="266"/>
      <c r="H50" s="251"/>
      <c r="I50" s="246">
        <f>SUM(I51:I51)</f>
        <v>7200000</v>
      </c>
      <c r="J50" s="31"/>
      <c r="K50" s="31"/>
    </row>
    <row r="51" spans="1:11" s="4" customFormat="1" ht="16.5" customHeight="1">
      <c r="A51" s="137"/>
      <c r="B51" s="137"/>
      <c r="C51" s="155"/>
      <c r="D51" s="259"/>
      <c r="E51" s="259"/>
      <c r="F51" s="260"/>
      <c r="G51" s="272"/>
      <c r="H51" s="267" t="s">
        <v>112</v>
      </c>
      <c r="I51" s="254">
        <f>600000*12</f>
        <v>7200000</v>
      </c>
      <c r="J51" s="31"/>
      <c r="K51" s="31"/>
    </row>
    <row r="52" spans="1:11" s="4" customFormat="1" ht="16.5" customHeight="1">
      <c r="A52" s="137"/>
      <c r="B52" s="137"/>
      <c r="C52" s="121" t="s">
        <v>32</v>
      </c>
      <c r="D52" s="240">
        <v>3330</v>
      </c>
      <c r="E52" s="240">
        <v>3330</v>
      </c>
      <c r="F52" s="169">
        <f>E52-D52</f>
        <v>0</v>
      </c>
      <c r="G52" s="170">
        <f>F52/D52</f>
        <v>0</v>
      </c>
      <c r="H52" s="273" t="s">
        <v>55</v>
      </c>
      <c r="I52" s="264"/>
      <c r="J52" s="31"/>
      <c r="K52" s="31"/>
    </row>
    <row r="53" spans="1:11" s="4" customFormat="1" ht="16.5" customHeight="1">
      <c r="A53" s="137"/>
      <c r="B53" s="137"/>
      <c r="C53" s="127"/>
      <c r="D53" s="243"/>
      <c r="E53" s="243"/>
      <c r="F53" s="265"/>
      <c r="G53" s="266"/>
      <c r="H53" s="245"/>
      <c r="I53" s="246">
        <f>SUM(I54:I57)</f>
        <v>3330000</v>
      </c>
      <c r="J53" s="31"/>
      <c r="K53" s="31"/>
    </row>
    <row r="54" spans="1:11" s="4" customFormat="1" ht="16.5" customHeight="1">
      <c r="A54" s="137"/>
      <c r="B54" s="137"/>
      <c r="C54" s="127"/>
      <c r="D54" s="243"/>
      <c r="E54" s="243"/>
      <c r="F54" s="265"/>
      <c r="G54" s="266"/>
      <c r="H54" s="267" t="s">
        <v>212</v>
      </c>
      <c r="I54" s="246">
        <f>60000*10*4</f>
        <v>2400000</v>
      </c>
      <c r="J54" s="31"/>
      <c r="K54" s="31"/>
    </row>
    <row r="55" spans="1:11" s="4" customFormat="1" ht="16.5" customHeight="1">
      <c r="A55" s="137"/>
      <c r="B55" s="137"/>
      <c r="C55" s="127"/>
      <c r="D55" s="243"/>
      <c r="E55" s="243"/>
      <c r="F55" s="265"/>
      <c r="G55" s="266"/>
      <c r="H55" s="267" t="s">
        <v>213</v>
      </c>
      <c r="I55" s="246">
        <f>20000*6*4</f>
        <v>480000</v>
      </c>
      <c r="J55" s="31"/>
      <c r="K55" s="31"/>
    </row>
    <row r="56" spans="1:11" s="4" customFormat="1" ht="16.5" customHeight="1">
      <c r="A56" s="137"/>
      <c r="B56" s="137"/>
      <c r="C56" s="127"/>
      <c r="D56" s="243"/>
      <c r="E56" s="243"/>
      <c r="F56" s="265"/>
      <c r="G56" s="266"/>
      <c r="H56" s="267" t="s">
        <v>214</v>
      </c>
      <c r="I56" s="246">
        <f>5000*15*2</f>
        <v>150000</v>
      </c>
      <c r="J56" s="31"/>
      <c r="K56" s="31"/>
    </row>
    <row r="57" spans="1:11" s="4" customFormat="1" ht="16.5" customHeight="1">
      <c r="A57" s="137"/>
      <c r="B57" s="137"/>
      <c r="C57" s="127"/>
      <c r="D57" s="243"/>
      <c r="E57" s="243"/>
      <c r="F57" s="265"/>
      <c r="G57" s="266"/>
      <c r="H57" s="267" t="s">
        <v>215</v>
      </c>
      <c r="I57" s="246">
        <f>5000*10*6</f>
        <v>300000</v>
      </c>
      <c r="J57" s="31"/>
      <c r="K57" s="31"/>
    </row>
    <row r="58" spans="1:11" s="4" customFormat="1" ht="16.5" customHeight="1">
      <c r="A58" s="137"/>
      <c r="B58" s="121" t="s">
        <v>13</v>
      </c>
      <c r="C58" s="121"/>
      <c r="D58" s="240">
        <f>D59+D62+D90+D98+D108+D114</f>
        <v>250190</v>
      </c>
      <c r="E58" s="240">
        <f>E59+E62+E90+E98+E108+E114</f>
        <v>238190</v>
      </c>
      <c r="F58" s="175" t="s">
        <v>191</v>
      </c>
      <c r="G58" s="231" t="s">
        <v>168</v>
      </c>
      <c r="H58" s="274"/>
      <c r="I58" s="275"/>
      <c r="J58" s="31"/>
      <c r="K58" s="31"/>
    </row>
    <row r="59" spans="1:11" s="4" customFormat="1" ht="16.5" customHeight="1">
      <c r="A59" s="138"/>
      <c r="B59" s="138"/>
      <c r="C59" s="117" t="s">
        <v>56</v>
      </c>
      <c r="D59" s="239">
        <v>10800</v>
      </c>
      <c r="E59" s="239">
        <v>10800</v>
      </c>
      <c r="F59" s="169">
        <f>E59-D59</f>
        <v>0</v>
      </c>
      <c r="G59" s="170">
        <f>F59/D59</f>
        <v>0</v>
      </c>
      <c r="H59" s="276" t="s">
        <v>57</v>
      </c>
      <c r="I59" s="277"/>
      <c r="J59" s="31"/>
      <c r="K59" s="31"/>
    </row>
    <row r="60" spans="1:11" s="4" customFormat="1" ht="16.5" customHeight="1">
      <c r="A60" s="248"/>
      <c r="B60" s="248"/>
      <c r="C60" s="121"/>
      <c r="D60" s="240"/>
      <c r="E60" s="240"/>
      <c r="F60" s="278"/>
      <c r="G60" s="279"/>
      <c r="H60" s="263"/>
      <c r="I60" s="280">
        <f>I61</f>
        <v>10800000</v>
      </c>
      <c r="J60" s="31"/>
      <c r="K60" s="31"/>
    </row>
    <row r="61" spans="1:11" s="4" customFormat="1" ht="16.5" customHeight="1">
      <c r="A61" s="137"/>
      <c r="B61" s="137"/>
      <c r="C61" s="155"/>
      <c r="D61" s="259"/>
      <c r="E61" s="259"/>
      <c r="F61" s="260"/>
      <c r="G61" s="268"/>
      <c r="H61" s="269" t="s">
        <v>183</v>
      </c>
      <c r="I61" s="254">
        <f>900000*12</f>
        <v>10800000</v>
      </c>
      <c r="J61" s="31"/>
      <c r="K61" s="31"/>
    </row>
    <row r="62" spans="1:11" s="4" customFormat="1" ht="16.5" customHeight="1">
      <c r="A62" s="137"/>
      <c r="B62" s="137"/>
      <c r="C62" s="248" t="s">
        <v>93</v>
      </c>
      <c r="D62" s="240">
        <v>91680</v>
      </c>
      <c r="E62" s="240">
        <v>91680</v>
      </c>
      <c r="F62" s="169">
        <f>E62-D62</f>
        <v>0</v>
      </c>
      <c r="G62" s="170">
        <f>F62/D62</f>
        <v>0</v>
      </c>
      <c r="H62" s="263" t="s">
        <v>46</v>
      </c>
      <c r="I62" s="264"/>
      <c r="J62" s="31"/>
      <c r="K62" s="31"/>
    </row>
    <row r="63" spans="1:11" s="4" customFormat="1" ht="16.5" customHeight="1">
      <c r="A63" s="137"/>
      <c r="B63" s="137"/>
      <c r="C63" s="137"/>
      <c r="D63" s="243"/>
      <c r="E63" s="243"/>
      <c r="F63" s="201"/>
      <c r="G63" s="244"/>
      <c r="H63" s="251"/>
      <c r="I63" s="246">
        <f>SUM(I64:I89)</f>
        <v>91680000</v>
      </c>
      <c r="J63" s="31"/>
      <c r="K63" s="31"/>
    </row>
    <row r="64" spans="1:11" s="4" customFormat="1" ht="16.5" customHeight="1">
      <c r="A64" s="137"/>
      <c r="B64" s="137"/>
      <c r="C64" s="137"/>
      <c r="D64" s="243"/>
      <c r="E64" s="243"/>
      <c r="F64" s="201"/>
      <c r="G64" s="244"/>
      <c r="H64" s="267" t="s">
        <v>114</v>
      </c>
      <c r="I64" s="246">
        <f>40000*12</f>
        <v>480000</v>
      </c>
      <c r="J64" s="31"/>
      <c r="K64" s="31"/>
    </row>
    <row r="65" spans="1:11" s="4" customFormat="1" ht="16.5" customHeight="1">
      <c r="A65" s="137"/>
      <c r="B65" s="137"/>
      <c r="C65" s="137"/>
      <c r="D65" s="243"/>
      <c r="E65" s="243"/>
      <c r="F65" s="201"/>
      <c r="G65" s="244"/>
      <c r="H65" s="267" t="s">
        <v>113</v>
      </c>
      <c r="I65" s="246">
        <f>130000*12</f>
        <v>1560000</v>
      </c>
      <c r="J65" s="31"/>
      <c r="K65" s="31"/>
    </row>
    <row r="66" spans="1:11" s="4" customFormat="1" ht="16.5" customHeight="1">
      <c r="A66" s="137"/>
      <c r="B66" s="137"/>
      <c r="C66" s="137"/>
      <c r="D66" s="243"/>
      <c r="E66" s="243"/>
      <c r="F66" s="201"/>
      <c r="G66" s="244"/>
      <c r="H66" s="267" t="s">
        <v>216</v>
      </c>
      <c r="I66" s="246">
        <f>400000*2</f>
        <v>800000</v>
      </c>
      <c r="J66" s="31"/>
      <c r="K66" s="31"/>
    </row>
    <row r="67" spans="1:11" s="4" customFormat="1" ht="16.5" customHeight="1">
      <c r="A67" s="137"/>
      <c r="B67" s="137"/>
      <c r="C67" s="137"/>
      <c r="D67" s="243"/>
      <c r="E67" s="243"/>
      <c r="F67" s="201"/>
      <c r="G67" s="244"/>
      <c r="H67" s="267" t="s">
        <v>217</v>
      </c>
      <c r="I67" s="246">
        <f>800000*2</f>
        <v>1600000</v>
      </c>
      <c r="J67" s="31"/>
      <c r="K67" s="31"/>
    </row>
    <row r="68" spans="1:11" s="4" customFormat="1" ht="16.5" customHeight="1">
      <c r="A68" s="137"/>
      <c r="B68" s="137"/>
      <c r="C68" s="137"/>
      <c r="D68" s="243"/>
      <c r="E68" s="243"/>
      <c r="F68" s="201"/>
      <c r="G68" s="244"/>
      <c r="H68" s="267" t="s">
        <v>218</v>
      </c>
      <c r="I68" s="246">
        <f>1000000*1</f>
        <v>1000000</v>
      </c>
      <c r="J68" s="31"/>
      <c r="K68" s="31"/>
    </row>
    <row r="69" spans="1:11" s="4" customFormat="1" ht="16.5" customHeight="1">
      <c r="A69" s="137"/>
      <c r="B69" s="137"/>
      <c r="C69" s="137"/>
      <c r="D69" s="243"/>
      <c r="E69" s="243"/>
      <c r="F69" s="201"/>
      <c r="G69" s="244"/>
      <c r="H69" s="267" t="s">
        <v>175</v>
      </c>
      <c r="I69" s="246">
        <f>350000*12</f>
        <v>4200000</v>
      </c>
      <c r="J69" s="31"/>
      <c r="K69" s="31"/>
    </row>
    <row r="70" spans="1:11" s="4" customFormat="1" ht="16.5" customHeight="1">
      <c r="A70" s="137"/>
      <c r="B70" s="137"/>
      <c r="C70" s="137"/>
      <c r="D70" s="243"/>
      <c r="E70" s="243"/>
      <c r="F70" s="201"/>
      <c r="G70" s="244"/>
      <c r="H70" s="267" t="s">
        <v>219</v>
      </c>
      <c r="I70" s="246">
        <f>1300000*1</f>
        <v>1300000</v>
      </c>
      <c r="J70" s="31"/>
      <c r="K70" s="31"/>
    </row>
    <row r="71" spans="1:11" s="4" customFormat="1" ht="16.5" customHeight="1">
      <c r="A71" s="137"/>
      <c r="B71" s="137"/>
      <c r="C71" s="137"/>
      <c r="D71" s="243"/>
      <c r="E71" s="243"/>
      <c r="F71" s="201"/>
      <c r="G71" s="244"/>
      <c r="H71" s="267" t="s">
        <v>176</v>
      </c>
      <c r="I71" s="246">
        <f>550000*12</f>
        <v>6600000</v>
      </c>
      <c r="J71" s="31"/>
      <c r="K71" s="31"/>
    </row>
    <row r="72" spans="1:11" s="4" customFormat="1" ht="16.5" customHeight="1">
      <c r="A72" s="137"/>
      <c r="B72" s="137"/>
      <c r="C72" s="137"/>
      <c r="D72" s="243"/>
      <c r="E72" s="243"/>
      <c r="F72" s="201"/>
      <c r="G72" s="244"/>
      <c r="H72" s="267" t="s">
        <v>177</v>
      </c>
      <c r="I72" s="246">
        <f>270000*12</f>
        <v>3240000</v>
      </c>
      <c r="J72" s="31"/>
      <c r="K72" s="31"/>
    </row>
    <row r="73" spans="1:11" s="4" customFormat="1" ht="16.5" customHeight="1">
      <c r="A73" s="137"/>
      <c r="B73" s="137"/>
      <c r="C73" s="137"/>
      <c r="D73" s="243"/>
      <c r="E73" s="243"/>
      <c r="F73" s="201"/>
      <c r="G73" s="244"/>
      <c r="H73" s="267" t="s">
        <v>178</v>
      </c>
      <c r="I73" s="246">
        <f>300000*12</f>
        <v>3600000</v>
      </c>
      <c r="J73" s="31"/>
      <c r="K73" s="31"/>
    </row>
    <row r="74" spans="1:11" s="4" customFormat="1" ht="16.5" customHeight="1">
      <c r="A74" s="137"/>
      <c r="B74" s="137"/>
      <c r="C74" s="137"/>
      <c r="D74" s="243"/>
      <c r="E74" s="243"/>
      <c r="F74" s="201"/>
      <c r="G74" s="244"/>
      <c r="H74" s="267" t="s">
        <v>179</v>
      </c>
      <c r="I74" s="246">
        <f>260000*12</f>
        <v>3120000</v>
      </c>
      <c r="J74" s="31"/>
      <c r="K74" s="31"/>
    </row>
    <row r="75" spans="1:11" s="4" customFormat="1" ht="16.5" customHeight="1">
      <c r="A75" s="137"/>
      <c r="B75" s="137"/>
      <c r="C75" s="137"/>
      <c r="D75" s="243"/>
      <c r="E75" s="243"/>
      <c r="F75" s="201"/>
      <c r="G75" s="244"/>
      <c r="H75" s="267" t="s">
        <v>180</v>
      </c>
      <c r="I75" s="246">
        <f>200000*12</f>
        <v>2400000</v>
      </c>
      <c r="J75" s="31"/>
      <c r="K75" s="31"/>
    </row>
    <row r="76" spans="1:11" s="4" customFormat="1" ht="16.5" customHeight="1">
      <c r="A76" s="137"/>
      <c r="B76" s="137"/>
      <c r="C76" s="137"/>
      <c r="D76" s="243"/>
      <c r="E76" s="243"/>
      <c r="F76" s="201"/>
      <c r="G76" s="244"/>
      <c r="H76" s="267" t="s">
        <v>181</v>
      </c>
      <c r="I76" s="246">
        <f>200000*12</f>
        <v>2400000</v>
      </c>
      <c r="J76" s="31"/>
      <c r="K76" s="31"/>
    </row>
    <row r="77" spans="1:11" s="4" customFormat="1" ht="16.5" customHeight="1">
      <c r="A77" s="137"/>
      <c r="B77" s="137"/>
      <c r="C77" s="137"/>
      <c r="D77" s="243"/>
      <c r="E77" s="243"/>
      <c r="F77" s="201"/>
      <c r="G77" s="244"/>
      <c r="H77" s="267" t="s">
        <v>182</v>
      </c>
      <c r="I77" s="246">
        <f>150000*12</f>
        <v>1800000</v>
      </c>
      <c r="J77" s="31"/>
      <c r="K77" s="31"/>
    </row>
    <row r="78" spans="1:11" s="4" customFormat="1" ht="16.5" customHeight="1">
      <c r="A78" s="137"/>
      <c r="B78" s="137"/>
      <c r="C78" s="137"/>
      <c r="D78" s="243"/>
      <c r="E78" s="243"/>
      <c r="F78" s="265"/>
      <c r="G78" s="266"/>
      <c r="H78" s="267" t="s">
        <v>115</v>
      </c>
      <c r="I78" s="246">
        <f>400000*12</f>
        <v>4800000</v>
      </c>
      <c r="J78" s="31"/>
      <c r="K78" s="31"/>
    </row>
    <row r="79" spans="1:11" s="4" customFormat="1" ht="16.5" customHeight="1">
      <c r="A79" s="137"/>
      <c r="B79" s="137"/>
      <c r="C79" s="137"/>
      <c r="D79" s="243"/>
      <c r="E79" s="243"/>
      <c r="F79" s="265"/>
      <c r="G79" s="266"/>
      <c r="H79" s="267" t="s">
        <v>164</v>
      </c>
      <c r="I79" s="246">
        <f>1000000*12</f>
        <v>12000000</v>
      </c>
      <c r="J79" s="31"/>
      <c r="K79" s="31"/>
    </row>
    <row r="80" spans="1:11" s="4" customFormat="1" ht="16.5" customHeight="1">
      <c r="A80" s="137"/>
      <c r="B80" s="137"/>
      <c r="C80" s="137"/>
      <c r="D80" s="243"/>
      <c r="E80" s="243"/>
      <c r="F80" s="265"/>
      <c r="G80" s="266"/>
      <c r="H80" s="267" t="s">
        <v>165</v>
      </c>
      <c r="I80" s="246">
        <f>1200000*12</f>
        <v>14400000</v>
      </c>
      <c r="J80" s="31"/>
      <c r="K80" s="31"/>
    </row>
    <row r="81" spans="1:11" s="4" customFormat="1" ht="16.5" customHeight="1">
      <c r="A81" s="137"/>
      <c r="B81" s="137"/>
      <c r="C81" s="137"/>
      <c r="D81" s="243"/>
      <c r="E81" s="243"/>
      <c r="F81" s="265"/>
      <c r="G81" s="266"/>
      <c r="H81" s="267" t="s">
        <v>116</v>
      </c>
      <c r="I81" s="246">
        <f>15000*12</f>
        <v>180000</v>
      </c>
      <c r="J81" s="31"/>
      <c r="K81" s="31"/>
    </row>
    <row r="82" spans="1:11" s="4" customFormat="1" ht="16.5" customHeight="1">
      <c r="A82" s="137"/>
      <c r="B82" s="137"/>
      <c r="C82" s="137"/>
      <c r="D82" s="243"/>
      <c r="E82" s="243"/>
      <c r="F82" s="265"/>
      <c r="G82" s="266"/>
      <c r="H82" s="267" t="s">
        <v>152</v>
      </c>
      <c r="I82" s="246">
        <f>500000*12</f>
        <v>6000000</v>
      </c>
      <c r="J82" s="31"/>
      <c r="K82" s="31"/>
    </row>
    <row r="83" spans="1:11" s="4" customFormat="1" ht="16.5" customHeight="1">
      <c r="A83" s="137"/>
      <c r="B83" s="137"/>
      <c r="C83" s="137"/>
      <c r="D83" s="243"/>
      <c r="E83" s="243"/>
      <c r="F83" s="265"/>
      <c r="G83" s="266"/>
      <c r="H83" s="267" t="s">
        <v>148</v>
      </c>
      <c r="I83" s="246">
        <f>500000*12</f>
        <v>6000000</v>
      </c>
      <c r="J83" s="31"/>
      <c r="K83" s="31"/>
    </row>
    <row r="84" spans="1:11" s="4" customFormat="1" ht="16.5" customHeight="1">
      <c r="A84" s="137"/>
      <c r="B84" s="137"/>
      <c r="C84" s="137"/>
      <c r="D84" s="243"/>
      <c r="E84" s="243"/>
      <c r="F84" s="265"/>
      <c r="G84" s="266"/>
      <c r="H84" s="267" t="s">
        <v>117</v>
      </c>
      <c r="I84" s="246">
        <f>200000*12</f>
        <v>2400000</v>
      </c>
      <c r="J84" s="31"/>
      <c r="K84" s="31"/>
    </row>
    <row r="85" spans="1:11" s="4" customFormat="1" ht="16.5" customHeight="1">
      <c r="A85" s="138"/>
      <c r="B85" s="138"/>
      <c r="C85" s="138"/>
      <c r="D85" s="259"/>
      <c r="E85" s="259"/>
      <c r="F85" s="260"/>
      <c r="G85" s="268"/>
      <c r="H85" s="269" t="s">
        <v>120</v>
      </c>
      <c r="I85" s="254">
        <f>300000*12</f>
        <v>3600000</v>
      </c>
      <c r="J85" s="31"/>
      <c r="K85" s="31"/>
    </row>
    <row r="86" spans="1:11" s="4" customFormat="1" ht="16.5" customHeight="1">
      <c r="A86" s="137"/>
      <c r="B86" s="137"/>
      <c r="C86" s="137"/>
      <c r="D86" s="243"/>
      <c r="E86" s="243"/>
      <c r="F86" s="265"/>
      <c r="G86" s="266"/>
      <c r="H86" s="267" t="s">
        <v>220</v>
      </c>
      <c r="I86" s="246">
        <f>1000000*1</f>
        <v>1000000</v>
      </c>
      <c r="J86" s="31"/>
      <c r="K86" s="31"/>
    </row>
    <row r="87" spans="1:11" s="4" customFormat="1" ht="16.5" customHeight="1">
      <c r="A87" s="137"/>
      <c r="B87" s="137"/>
      <c r="C87" s="137"/>
      <c r="D87" s="243"/>
      <c r="E87" s="243"/>
      <c r="F87" s="265"/>
      <c r="G87" s="266"/>
      <c r="H87" s="267" t="s">
        <v>173</v>
      </c>
      <c r="I87" s="246">
        <f>300000*12</f>
        <v>3600000</v>
      </c>
      <c r="J87" s="31"/>
      <c r="K87" s="31"/>
    </row>
    <row r="88" spans="1:11" s="4" customFormat="1" ht="16.5" customHeight="1">
      <c r="A88" s="137"/>
      <c r="B88" s="137"/>
      <c r="C88" s="137"/>
      <c r="D88" s="243"/>
      <c r="E88" s="243"/>
      <c r="F88" s="265"/>
      <c r="G88" s="266"/>
      <c r="H88" s="267" t="s">
        <v>184</v>
      </c>
      <c r="I88" s="246">
        <f>200000*12</f>
        <v>2400000</v>
      </c>
      <c r="J88" s="31"/>
      <c r="K88" s="31"/>
    </row>
    <row r="89" spans="1:11" s="4" customFormat="1" ht="16.5" customHeight="1">
      <c r="A89" s="137"/>
      <c r="B89" s="137"/>
      <c r="C89" s="137"/>
      <c r="D89" s="243"/>
      <c r="E89" s="243"/>
      <c r="F89" s="265"/>
      <c r="G89" s="266"/>
      <c r="H89" s="267" t="s">
        <v>149</v>
      </c>
      <c r="I89" s="246">
        <f>100000*12</f>
        <v>1200000</v>
      </c>
      <c r="J89" s="31"/>
      <c r="K89" s="31"/>
    </row>
    <row r="90" spans="1:11" s="4" customFormat="1" ht="16.5" customHeight="1">
      <c r="A90" s="248"/>
      <c r="B90" s="248"/>
      <c r="C90" s="121" t="s">
        <v>33</v>
      </c>
      <c r="D90" s="240">
        <v>58560</v>
      </c>
      <c r="E90" s="240">
        <v>58560</v>
      </c>
      <c r="F90" s="169">
        <f>E90-D90</f>
        <v>0</v>
      </c>
      <c r="G90" s="170">
        <f>F90/D90</f>
        <v>0</v>
      </c>
      <c r="H90" s="263" t="s">
        <v>58</v>
      </c>
      <c r="I90" s="264"/>
      <c r="J90" s="31"/>
      <c r="K90" s="31"/>
    </row>
    <row r="91" spans="1:11" s="4" customFormat="1" ht="16.5" customHeight="1">
      <c r="A91" s="137"/>
      <c r="B91" s="137"/>
      <c r="C91" s="127"/>
      <c r="D91" s="243"/>
      <c r="E91" s="243"/>
      <c r="F91" s="265"/>
      <c r="G91" s="266"/>
      <c r="H91" s="251"/>
      <c r="I91" s="246">
        <f>SUM(I92:I97)</f>
        <v>58560000</v>
      </c>
      <c r="J91" s="31"/>
      <c r="K91" s="31"/>
    </row>
    <row r="92" spans="1:11" s="4" customFormat="1" ht="16.5" customHeight="1">
      <c r="A92" s="137"/>
      <c r="B92" s="137"/>
      <c r="C92" s="127"/>
      <c r="D92" s="243"/>
      <c r="E92" s="243"/>
      <c r="F92" s="265"/>
      <c r="G92" s="266"/>
      <c r="H92" s="267" t="s">
        <v>119</v>
      </c>
      <c r="I92" s="246">
        <f>800000*12</f>
        <v>9600000</v>
      </c>
      <c r="J92" s="31"/>
      <c r="K92" s="31"/>
    </row>
    <row r="93" spans="1:11" s="4" customFormat="1" ht="16.5" customHeight="1">
      <c r="A93" s="137"/>
      <c r="B93" s="137"/>
      <c r="C93" s="127"/>
      <c r="D93" s="243"/>
      <c r="E93" s="243"/>
      <c r="F93" s="265"/>
      <c r="G93" s="266"/>
      <c r="H93" s="267" t="s">
        <v>118</v>
      </c>
      <c r="I93" s="246">
        <f>200000*12</f>
        <v>2400000</v>
      </c>
      <c r="J93" s="31"/>
      <c r="K93" s="31"/>
    </row>
    <row r="94" spans="1:11" s="4" customFormat="1" ht="16.5" customHeight="1">
      <c r="A94" s="137"/>
      <c r="B94" s="137"/>
      <c r="C94" s="127"/>
      <c r="D94" s="243"/>
      <c r="E94" s="243"/>
      <c r="F94" s="265"/>
      <c r="G94" s="266"/>
      <c r="H94" s="267" t="s">
        <v>121</v>
      </c>
      <c r="I94" s="246">
        <f>150000*12</f>
        <v>1800000</v>
      </c>
      <c r="J94" s="31"/>
      <c r="K94" s="31"/>
    </row>
    <row r="95" spans="1:11" s="4" customFormat="1" ht="16.5" customHeight="1">
      <c r="A95" s="137"/>
      <c r="B95" s="137"/>
      <c r="C95" s="127"/>
      <c r="D95" s="243"/>
      <c r="E95" s="243"/>
      <c r="F95" s="265"/>
      <c r="G95" s="266"/>
      <c r="H95" s="267" t="s">
        <v>122</v>
      </c>
      <c r="I95" s="246">
        <f>3500000*12</f>
        <v>42000000</v>
      </c>
      <c r="J95" s="31"/>
      <c r="K95" s="31"/>
    </row>
    <row r="96" spans="1:11" s="4" customFormat="1" ht="16.5" customHeight="1">
      <c r="A96" s="137"/>
      <c r="B96" s="137"/>
      <c r="C96" s="127"/>
      <c r="D96" s="243"/>
      <c r="E96" s="243"/>
      <c r="F96" s="265"/>
      <c r="G96" s="266"/>
      <c r="H96" s="267" t="s">
        <v>153</v>
      </c>
      <c r="I96" s="246">
        <f>130000*12</f>
        <v>1560000</v>
      </c>
      <c r="J96" s="31"/>
      <c r="K96" s="31"/>
    </row>
    <row r="97" spans="1:11" s="4" customFormat="1" ht="16.5" customHeight="1">
      <c r="A97" s="137"/>
      <c r="B97" s="137"/>
      <c r="C97" s="155"/>
      <c r="D97" s="259"/>
      <c r="E97" s="259"/>
      <c r="F97" s="260"/>
      <c r="G97" s="268"/>
      <c r="H97" s="267" t="s">
        <v>154</v>
      </c>
      <c r="I97" s="246">
        <f>100000*12</f>
        <v>1200000</v>
      </c>
      <c r="J97" s="31"/>
      <c r="K97" s="31"/>
    </row>
    <row r="98" spans="1:11" s="4" customFormat="1" ht="16.5" customHeight="1">
      <c r="A98" s="137"/>
      <c r="B98" s="137"/>
      <c r="C98" s="248" t="s">
        <v>59</v>
      </c>
      <c r="D98" s="240">
        <v>18150</v>
      </c>
      <c r="E98" s="240">
        <v>18150</v>
      </c>
      <c r="F98" s="169">
        <f>E98-D98</f>
        <v>0</v>
      </c>
      <c r="G98" s="170">
        <f>F98/D98</f>
        <v>0</v>
      </c>
      <c r="H98" s="263" t="s">
        <v>60</v>
      </c>
      <c r="I98" s="264"/>
      <c r="J98" s="31"/>
      <c r="K98" s="31"/>
    </row>
    <row r="99" spans="1:11" s="4" customFormat="1" ht="16.5" customHeight="1">
      <c r="A99" s="137"/>
      <c r="B99" s="137"/>
      <c r="C99" s="137"/>
      <c r="D99" s="243"/>
      <c r="E99" s="243"/>
      <c r="F99" s="265"/>
      <c r="G99" s="266"/>
      <c r="H99" s="251"/>
      <c r="I99" s="246">
        <f>SUM(I100:I107)</f>
        <v>18150000</v>
      </c>
      <c r="J99" s="31"/>
      <c r="K99" s="31"/>
    </row>
    <row r="100" spans="1:11" s="4" customFormat="1" ht="16.5" customHeight="1">
      <c r="A100" s="137"/>
      <c r="B100" s="137"/>
      <c r="C100" s="137"/>
      <c r="D100" s="243"/>
      <c r="E100" s="243"/>
      <c r="F100" s="265"/>
      <c r="G100" s="266"/>
      <c r="H100" s="281" t="s">
        <v>221</v>
      </c>
      <c r="I100" s="246">
        <f>150000*2</f>
        <v>300000</v>
      </c>
      <c r="J100" s="31"/>
      <c r="K100" s="31"/>
    </row>
    <row r="101" spans="1:11" s="4" customFormat="1" ht="16.5" customHeight="1">
      <c r="A101" s="137"/>
      <c r="B101" s="137"/>
      <c r="C101" s="137"/>
      <c r="D101" s="243"/>
      <c r="E101" s="243"/>
      <c r="F101" s="265"/>
      <c r="G101" s="266"/>
      <c r="H101" s="281" t="s">
        <v>222</v>
      </c>
      <c r="I101" s="246">
        <f>9000000*1</f>
        <v>9000000</v>
      </c>
      <c r="J101" s="31"/>
      <c r="K101" s="31"/>
    </row>
    <row r="102" spans="1:11" s="4" customFormat="1" ht="16.5" customHeight="1">
      <c r="A102" s="137"/>
      <c r="B102" s="137"/>
      <c r="C102" s="137"/>
      <c r="D102" s="243"/>
      <c r="E102" s="243"/>
      <c r="F102" s="265"/>
      <c r="G102" s="266"/>
      <c r="H102" s="281" t="s">
        <v>223</v>
      </c>
      <c r="I102" s="246">
        <f>400000*1</f>
        <v>400000</v>
      </c>
      <c r="J102" s="31"/>
      <c r="K102" s="31"/>
    </row>
    <row r="103" spans="1:11" s="4" customFormat="1" ht="16.5" customHeight="1">
      <c r="A103" s="137"/>
      <c r="B103" s="137"/>
      <c r="C103" s="137"/>
      <c r="D103" s="243"/>
      <c r="E103" s="243"/>
      <c r="F103" s="265"/>
      <c r="G103" s="266"/>
      <c r="H103" s="281" t="s">
        <v>137</v>
      </c>
      <c r="I103" s="246">
        <f>250000*12</f>
        <v>3000000</v>
      </c>
      <c r="J103" s="31"/>
      <c r="K103" s="31"/>
    </row>
    <row r="104" spans="1:11" s="4" customFormat="1" ht="16.5" customHeight="1">
      <c r="A104" s="137"/>
      <c r="B104" s="137"/>
      <c r="C104" s="137"/>
      <c r="D104" s="243"/>
      <c r="E104" s="243"/>
      <c r="F104" s="265"/>
      <c r="G104" s="266"/>
      <c r="H104" s="281" t="s">
        <v>224</v>
      </c>
      <c r="I104" s="246">
        <f>900000*3*1</f>
        <v>2700000</v>
      </c>
      <c r="J104" s="31"/>
      <c r="K104" s="31"/>
    </row>
    <row r="105" spans="1:11" s="4" customFormat="1" ht="16.5" customHeight="1">
      <c r="A105" s="137"/>
      <c r="B105" s="137"/>
      <c r="C105" s="137"/>
      <c r="D105" s="243"/>
      <c r="E105" s="243"/>
      <c r="F105" s="265"/>
      <c r="G105" s="266"/>
      <c r="H105" s="281" t="s">
        <v>225</v>
      </c>
      <c r="I105" s="246">
        <f>250000*3*1</f>
        <v>750000</v>
      </c>
      <c r="J105" s="31"/>
      <c r="K105" s="31"/>
    </row>
    <row r="106" spans="1:11" s="4" customFormat="1" ht="16.5" customHeight="1">
      <c r="A106" s="137"/>
      <c r="B106" s="137"/>
      <c r="C106" s="137"/>
      <c r="D106" s="243"/>
      <c r="E106" s="243"/>
      <c r="F106" s="265"/>
      <c r="G106" s="266"/>
      <c r="H106" s="281" t="s">
        <v>226</v>
      </c>
      <c r="I106" s="246">
        <f>250000*3*2</f>
        <v>1500000</v>
      </c>
      <c r="J106" s="31"/>
      <c r="K106" s="31"/>
    </row>
    <row r="107" spans="1:11" s="4" customFormat="1" ht="16.5" customHeight="1">
      <c r="A107" s="137"/>
      <c r="B107" s="137"/>
      <c r="C107" s="137"/>
      <c r="D107" s="243"/>
      <c r="E107" s="243"/>
      <c r="F107" s="265"/>
      <c r="G107" s="266"/>
      <c r="H107" s="281" t="s">
        <v>163</v>
      </c>
      <c r="I107" s="246">
        <v>500000</v>
      </c>
      <c r="J107" s="31"/>
      <c r="K107" s="31"/>
    </row>
    <row r="108" spans="1:11" s="4" customFormat="1" ht="16.5" customHeight="1">
      <c r="A108" s="137"/>
      <c r="B108" s="137"/>
      <c r="C108" s="121" t="s">
        <v>34</v>
      </c>
      <c r="D108" s="240">
        <v>15400</v>
      </c>
      <c r="E108" s="240">
        <v>15400</v>
      </c>
      <c r="F108" s="169">
        <f>E108-D108</f>
        <v>0</v>
      </c>
      <c r="G108" s="170">
        <f>F108/D108</f>
        <v>0</v>
      </c>
      <c r="H108" s="263" t="s">
        <v>61</v>
      </c>
      <c r="I108" s="264"/>
      <c r="J108" s="31"/>
      <c r="K108" s="31"/>
    </row>
    <row r="109" spans="1:11" s="4" customFormat="1" ht="16.5" customHeight="1">
      <c r="A109" s="137"/>
      <c r="B109" s="137"/>
      <c r="C109" s="127"/>
      <c r="D109" s="243"/>
      <c r="E109" s="243"/>
      <c r="F109" s="265"/>
      <c r="G109" s="266"/>
      <c r="H109" s="251"/>
      <c r="I109" s="246">
        <f>SUM(I110:I113)</f>
        <v>15400000</v>
      </c>
      <c r="J109" s="31"/>
      <c r="K109" s="31"/>
    </row>
    <row r="110" spans="1:11" s="4" customFormat="1" ht="16.5" customHeight="1">
      <c r="A110" s="137"/>
      <c r="B110" s="137"/>
      <c r="C110" s="127"/>
      <c r="D110" s="243"/>
      <c r="E110" s="243"/>
      <c r="F110" s="265"/>
      <c r="G110" s="266"/>
      <c r="H110" s="267" t="s">
        <v>123</v>
      </c>
      <c r="I110" s="246">
        <f>300000*3*12</f>
        <v>10800000</v>
      </c>
      <c r="J110" s="31"/>
      <c r="K110" s="31"/>
    </row>
    <row r="111" spans="1:11" s="4" customFormat="1" ht="16.5" customHeight="1">
      <c r="A111" s="138"/>
      <c r="B111" s="138"/>
      <c r="C111" s="155"/>
      <c r="D111" s="259"/>
      <c r="E111" s="259"/>
      <c r="F111" s="260"/>
      <c r="G111" s="268"/>
      <c r="H111" s="269" t="s">
        <v>227</v>
      </c>
      <c r="I111" s="254">
        <f>100000*3*6</f>
        <v>1800000</v>
      </c>
      <c r="J111" s="31"/>
      <c r="K111" s="31"/>
    </row>
    <row r="112" spans="1:11" s="4" customFormat="1" ht="16.5" customHeight="1">
      <c r="A112" s="137"/>
      <c r="B112" s="137"/>
      <c r="C112" s="127"/>
      <c r="D112" s="243"/>
      <c r="E112" s="243"/>
      <c r="F112" s="265"/>
      <c r="G112" s="266"/>
      <c r="H112" s="267" t="s">
        <v>228</v>
      </c>
      <c r="I112" s="246">
        <f>150000*3*6</f>
        <v>2700000</v>
      </c>
      <c r="J112" s="31"/>
      <c r="K112" s="31"/>
    </row>
    <row r="113" spans="1:11" s="4" customFormat="1" ht="16.5" customHeight="1">
      <c r="A113" s="137"/>
      <c r="B113" s="137"/>
      <c r="C113" s="127"/>
      <c r="D113" s="243"/>
      <c r="E113" s="243"/>
      <c r="F113" s="265"/>
      <c r="G113" s="266"/>
      <c r="H113" s="269" t="s">
        <v>229</v>
      </c>
      <c r="I113" s="254">
        <f>50000*2*1</f>
        <v>100000</v>
      </c>
      <c r="J113" s="31"/>
      <c r="K113" s="31"/>
    </row>
    <row r="114" spans="1:11" s="4" customFormat="1" ht="16.5" customHeight="1">
      <c r="A114" s="137"/>
      <c r="B114" s="137"/>
      <c r="C114" s="121" t="s">
        <v>62</v>
      </c>
      <c r="D114" s="240">
        <v>55600</v>
      </c>
      <c r="E114" s="240">
        <v>43600</v>
      </c>
      <c r="F114" s="175" t="s">
        <v>191</v>
      </c>
      <c r="G114" s="231" t="s">
        <v>195</v>
      </c>
      <c r="H114" s="263" t="s">
        <v>45</v>
      </c>
      <c r="I114" s="264"/>
      <c r="J114" s="31"/>
      <c r="K114" s="31"/>
    </row>
    <row r="115" spans="1:11" s="4" customFormat="1" ht="16.5" customHeight="1">
      <c r="A115" s="137"/>
      <c r="B115" s="137"/>
      <c r="C115" s="127"/>
      <c r="D115" s="243"/>
      <c r="E115" s="243"/>
      <c r="F115" s="201"/>
      <c r="G115" s="202"/>
      <c r="H115" s="282"/>
      <c r="I115" s="246">
        <f>SUM(I116:I122)</f>
        <v>43600000</v>
      </c>
      <c r="J115" s="31"/>
      <c r="K115" s="31"/>
    </row>
    <row r="116" spans="1:11" s="4" customFormat="1" ht="16.5" customHeight="1">
      <c r="A116" s="137"/>
      <c r="B116" s="137"/>
      <c r="C116" s="127"/>
      <c r="D116" s="243"/>
      <c r="E116" s="243"/>
      <c r="F116" s="201"/>
      <c r="G116" s="244"/>
      <c r="H116" s="267" t="s">
        <v>124</v>
      </c>
      <c r="I116" s="246">
        <f>300000*12</f>
        <v>3600000</v>
      </c>
      <c r="J116" s="31"/>
      <c r="K116" s="31"/>
    </row>
    <row r="117" spans="1:11" s="4" customFormat="1" ht="16.5" customHeight="1">
      <c r="A117" s="137"/>
      <c r="B117" s="137"/>
      <c r="C117" s="127"/>
      <c r="D117" s="243"/>
      <c r="E117" s="243"/>
      <c r="F117" s="201"/>
      <c r="G117" s="244"/>
      <c r="H117" s="267" t="s">
        <v>201</v>
      </c>
      <c r="I117" s="246">
        <f>400000*12</f>
        <v>4800000</v>
      </c>
      <c r="J117" s="31"/>
      <c r="K117" s="31"/>
    </row>
    <row r="118" spans="1:11" s="4" customFormat="1" ht="16.5" customHeight="1">
      <c r="A118" s="137"/>
      <c r="B118" s="137"/>
      <c r="C118" s="127"/>
      <c r="D118" s="243"/>
      <c r="E118" s="243"/>
      <c r="F118" s="201"/>
      <c r="G118" s="244"/>
      <c r="H118" s="267" t="s">
        <v>230</v>
      </c>
      <c r="I118" s="246">
        <f>7000000*1</f>
        <v>7000000</v>
      </c>
      <c r="J118" s="31"/>
      <c r="K118" s="31"/>
    </row>
    <row r="119" spans="1:11" s="4" customFormat="1" ht="16.5" customHeight="1">
      <c r="A119" s="137"/>
      <c r="B119" s="137"/>
      <c r="C119" s="127"/>
      <c r="D119" s="243"/>
      <c r="E119" s="243"/>
      <c r="F119" s="201"/>
      <c r="G119" s="244"/>
      <c r="H119" s="267" t="s">
        <v>157</v>
      </c>
      <c r="I119" s="246">
        <f>300000*12</f>
        <v>3600000</v>
      </c>
      <c r="J119" s="31"/>
      <c r="K119" s="31"/>
    </row>
    <row r="120" spans="1:11" s="4" customFormat="1" ht="16.5" customHeight="1">
      <c r="A120" s="137"/>
      <c r="B120" s="137"/>
      <c r="C120" s="127"/>
      <c r="D120" s="243"/>
      <c r="E120" s="243"/>
      <c r="F120" s="201"/>
      <c r="G120" s="244"/>
      <c r="H120" s="267" t="s">
        <v>231</v>
      </c>
      <c r="I120" s="246">
        <f>400000*4</f>
        <v>1600000</v>
      </c>
      <c r="J120" s="31"/>
      <c r="K120" s="31"/>
    </row>
    <row r="121" spans="1:11" s="4" customFormat="1" ht="16.5" customHeight="1">
      <c r="A121" s="137"/>
      <c r="B121" s="137"/>
      <c r="C121" s="127"/>
      <c r="D121" s="243"/>
      <c r="E121" s="243"/>
      <c r="F121" s="201"/>
      <c r="G121" s="244"/>
      <c r="H121" s="267" t="s">
        <v>232</v>
      </c>
      <c r="I121" s="246">
        <f>5000000*1</f>
        <v>5000000</v>
      </c>
      <c r="J121" s="31"/>
      <c r="K121" s="31"/>
    </row>
    <row r="122" spans="1:11" s="4" customFormat="1" ht="16.5" customHeight="1">
      <c r="A122" s="138"/>
      <c r="B122" s="138"/>
      <c r="C122" s="155"/>
      <c r="D122" s="259"/>
      <c r="E122" s="259"/>
      <c r="F122" s="260"/>
      <c r="G122" s="268"/>
      <c r="H122" s="269" t="s">
        <v>189</v>
      </c>
      <c r="I122" s="254">
        <v>18000000</v>
      </c>
      <c r="J122" s="31"/>
      <c r="K122" s="31"/>
    </row>
    <row r="123" spans="1:11" s="4" customFormat="1" ht="17.25" customHeight="1">
      <c r="A123" s="248" t="s">
        <v>14</v>
      </c>
      <c r="B123" s="117"/>
      <c r="C123" s="117"/>
      <c r="D123" s="239">
        <f>D124</f>
        <v>45860</v>
      </c>
      <c r="E123" s="239">
        <f>E124</f>
        <v>49460</v>
      </c>
      <c r="F123" s="169">
        <f>E123-D123</f>
        <v>3600</v>
      </c>
      <c r="G123" s="170">
        <f>F123/D123</f>
        <v>0.07849978194505015</v>
      </c>
      <c r="H123" s="274"/>
      <c r="I123" s="275"/>
      <c r="J123" s="31"/>
      <c r="K123" s="31"/>
    </row>
    <row r="124" spans="1:11" s="4" customFormat="1" ht="17.25" customHeight="1">
      <c r="A124" s="137"/>
      <c r="B124" s="121" t="s">
        <v>15</v>
      </c>
      <c r="C124" s="155"/>
      <c r="D124" s="259">
        <f>D125+D127+D136</f>
        <v>45860</v>
      </c>
      <c r="E124" s="259">
        <f>E125+E127+E136</f>
        <v>49460</v>
      </c>
      <c r="F124" s="169">
        <f>E124-D124</f>
        <v>3600</v>
      </c>
      <c r="G124" s="170">
        <f>F124/D124</f>
        <v>0.07849978194505015</v>
      </c>
      <c r="H124" s="274"/>
      <c r="I124" s="275"/>
      <c r="J124" s="31"/>
      <c r="K124" s="31"/>
    </row>
    <row r="125" spans="1:11" s="4" customFormat="1" ht="16.5" customHeight="1">
      <c r="A125" s="137"/>
      <c r="B125" s="137"/>
      <c r="C125" s="121" t="s">
        <v>15</v>
      </c>
      <c r="D125" s="240">
        <v>12000</v>
      </c>
      <c r="E125" s="240">
        <v>12000</v>
      </c>
      <c r="F125" s="169">
        <f>E125-D125</f>
        <v>0</v>
      </c>
      <c r="G125" s="170">
        <f>F125/D125</f>
        <v>0</v>
      </c>
      <c r="H125" s="263" t="s">
        <v>63</v>
      </c>
      <c r="I125" s="283">
        <f>I126</f>
        <v>12000000</v>
      </c>
      <c r="J125" s="31"/>
      <c r="K125" s="31"/>
    </row>
    <row r="126" spans="1:11" s="4" customFormat="1" ht="16.5" customHeight="1">
      <c r="A126" s="137"/>
      <c r="B126" s="137"/>
      <c r="C126" s="127"/>
      <c r="D126" s="243"/>
      <c r="E126" s="243"/>
      <c r="F126" s="201"/>
      <c r="G126" s="244"/>
      <c r="H126" s="267" t="s">
        <v>162</v>
      </c>
      <c r="I126" s="284">
        <f>1000000*12</f>
        <v>12000000</v>
      </c>
      <c r="J126" s="31"/>
      <c r="K126" s="31"/>
    </row>
    <row r="127" spans="1:11" s="4" customFormat="1" ht="16.5" customHeight="1">
      <c r="A127" s="137"/>
      <c r="B127" s="137"/>
      <c r="C127" s="121" t="s">
        <v>64</v>
      </c>
      <c r="D127" s="240">
        <v>27860</v>
      </c>
      <c r="E127" s="240">
        <v>31460</v>
      </c>
      <c r="F127" s="169">
        <f>E127-D127</f>
        <v>3600</v>
      </c>
      <c r="G127" s="170">
        <f>F127/D127</f>
        <v>0.12921751615218952</v>
      </c>
      <c r="H127" s="263" t="s">
        <v>65</v>
      </c>
      <c r="I127" s="285"/>
      <c r="J127" s="31"/>
      <c r="K127" s="31"/>
    </row>
    <row r="128" spans="1:11" s="4" customFormat="1" ht="16.5" customHeight="1">
      <c r="A128" s="137"/>
      <c r="B128" s="137"/>
      <c r="C128" s="127"/>
      <c r="D128" s="243"/>
      <c r="E128" s="243"/>
      <c r="F128" s="201"/>
      <c r="G128" s="244"/>
      <c r="H128" s="251"/>
      <c r="I128" s="246">
        <f>SUM(I129:I135)</f>
        <v>31460000</v>
      </c>
      <c r="J128" s="31"/>
      <c r="K128" s="31"/>
    </row>
    <row r="129" spans="1:11" s="4" customFormat="1" ht="16.5" customHeight="1">
      <c r="A129" s="137"/>
      <c r="B129" s="137"/>
      <c r="C129" s="127"/>
      <c r="D129" s="243"/>
      <c r="E129" s="243"/>
      <c r="F129" s="201"/>
      <c r="G129" s="244"/>
      <c r="H129" s="267" t="s">
        <v>233</v>
      </c>
      <c r="I129" s="246">
        <f>1000000*6</f>
        <v>6000000</v>
      </c>
      <c r="J129" s="31"/>
      <c r="K129" s="31"/>
    </row>
    <row r="130" spans="1:11" s="4" customFormat="1" ht="16.5" customHeight="1">
      <c r="A130" s="137"/>
      <c r="B130" s="137"/>
      <c r="C130" s="127"/>
      <c r="D130" s="243"/>
      <c r="E130" s="243"/>
      <c r="F130" s="201"/>
      <c r="G130" s="244"/>
      <c r="H130" s="267" t="s">
        <v>125</v>
      </c>
      <c r="I130" s="246">
        <f>580000*12</f>
        <v>6960000</v>
      </c>
      <c r="J130" s="31"/>
      <c r="K130" s="31"/>
    </row>
    <row r="131" spans="1:11" s="4" customFormat="1" ht="16.5" customHeight="1">
      <c r="A131" s="137"/>
      <c r="B131" s="137"/>
      <c r="C131" s="127"/>
      <c r="D131" s="243"/>
      <c r="E131" s="243"/>
      <c r="F131" s="201"/>
      <c r="G131" s="244"/>
      <c r="H131" s="267" t="s">
        <v>234</v>
      </c>
      <c r="I131" s="246">
        <f>1000000*4</f>
        <v>4000000</v>
      </c>
      <c r="J131" s="31"/>
      <c r="K131" s="31"/>
    </row>
    <row r="132" spans="1:11" s="4" customFormat="1" ht="16.5" customHeight="1">
      <c r="A132" s="137"/>
      <c r="B132" s="137"/>
      <c r="C132" s="127"/>
      <c r="D132" s="243"/>
      <c r="E132" s="243"/>
      <c r="F132" s="201"/>
      <c r="G132" s="244"/>
      <c r="H132" s="267" t="s">
        <v>235</v>
      </c>
      <c r="I132" s="246">
        <f>500000*4</f>
        <v>2000000</v>
      </c>
      <c r="J132" s="31"/>
      <c r="K132" s="31"/>
    </row>
    <row r="133" spans="1:11" s="4" customFormat="1" ht="16.5" customHeight="1">
      <c r="A133" s="137"/>
      <c r="B133" s="137"/>
      <c r="C133" s="127"/>
      <c r="D133" s="243"/>
      <c r="E133" s="243"/>
      <c r="F133" s="201"/>
      <c r="G133" s="244"/>
      <c r="H133" s="267" t="s">
        <v>138</v>
      </c>
      <c r="I133" s="246">
        <f>200000*10</f>
        <v>2000000</v>
      </c>
      <c r="J133" s="31"/>
      <c r="K133" s="31"/>
    </row>
    <row r="134" spans="1:11" s="22" customFormat="1" ht="16.5" customHeight="1">
      <c r="A134" s="137"/>
      <c r="B134" s="137"/>
      <c r="C134" s="127"/>
      <c r="D134" s="243"/>
      <c r="E134" s="243"/>
      <c r="F134" s="265"/>
      <c r="G134" s="266"/>
      <c r="H134" s="267" t="s">
        <v>236</v>
      </c>
      <c r="I134" s="246">
        <f>700000*3</f>
        <v>2100000</v>
      </c>
      <c r="J134" s="32"/>
      <c r="K134" s="32"/>
    </row>
    <row r="135" spans="1:11" s="22" customFormat="1" ht="16.5" customHeight="1">
      <c r="A135" s="137"/>
      <c r="B135" s="137"/>
      <c r="C135" s="155"/>
      <c r="D135" s="259"/>
      <c r="E135" s="259"/>
      <c r="F135" s="265"/>
      <c r="G135" s="266"/>
      <c r="H135" s="267" t="s">
        <v>190</v>
      </c>
      <c r="I135" s="246">
        <f>700000*12</f>
        <v>8400000</v>
      </c>
      <c r="J135" s="32"/>
      <c r="K135" s="32"/>
    </row>
    <row r="136" spans="1:11" s="4" customFormat="1" ht="16.5" customHeight="1">
      <c r="A136" s="137"/>
      <c r="B136" s="137"/>
      <c r="C136" s="121" t="s">
        <v>35</v>
      </c>
      <c r="D136" s="240">
        <v>6000</v>
      </c>
      <c r="E136" s="240">
        <v>6000</v>
      </c>
      <c r="F136" s="169">
        <f>E136-D136</f>
        <v>0</v>
      </c>
      <c r="G136" s="170">
        <f>F136/D136</f>
        <v>0</v>
      </c>
      <c r="H136" s="263" t="s">
        <v>44</v>
      </c>
      <c r="I136" s="264"/>
      <c r="J136" s="31"/>
      <c r="K136" s="31"/>
    </row>
    <row r="137" spans="1:11" s="4" customFormat="1" ht="16.5" customHeight="1">
      <c r="A137" s="138"/>
      <c r="B137" s="138"/>
      <c r="C137" s="155"/>
      <c r="D137" s="259"/>
      <c r="E137" s="259"/>
      <c r="F137" s="260"/>
      <c r="G137" s="268"/>
      <c r="H137" s="286"/>
      <c r="I137" s="254">
        <f>SUM(I138:I138)</f>
        <v>6000000</v>
      </c>
      <c r="J137" s="31"/>
      <c r="K137" s="31"/>
    </row>
    <row r="138" spans="1:11" s="4" customFormat="1" ht="16.5" customHeight="1">
      <c r="A138" s="137"/>
      <c r="B138" s="137"/>
      <c r="C138" s="127"/>
      <c r="D138" s="243"/>
      <c r="E138" s="243"/>
      <c r="F138" s="265"/>
      <c r="G138" s="266"/>
      <c r="H138" s="267" t="s">
        <v>126</v>
      </c>
      <c r="I138" s="246">
        <f>500000*12</f>
        <v>6000000</v>
      </c>
      <c r="J138" s="31"/>
      <c r="K138" s="31"/>
    </row>
    <row r="139" spans="1:11" s="4" customFormat="1" ht="18.75" customHeight="1">
      <c r="A139" s="121" t="s">
        <v>16</v>
      </c>
      <c r="B139" s="117"/>
      <c r="C139" s="117"/>
      <c r="D139" s="239">
        <f>D140+D168</f>
        <v>304360</v>
      </c>
      <c r="E139" s="239">
        <f>E140+E168</f>
        <v>312853</v>
      </c>
      <c r="F139" s="169">
        <f>E139-D139</f>
        <v>8493</v>
      </c>
      <c r="G139" s="170">
        <f>F139/D139</f>
        <v>0.027904455250361414</v>
      </c>
      <c r="H139" s="274"/>
      <c r="I139" s="275"/>
      <c r="J139" s="31"/>
      <c r="K139" s="31"/>
    </row>
    <row r="140" spans="1:11" s="4" customFormat="1" ht="18.75" customHeight="1">
      <c r="A140" s="137"/>
      <c r="B140" s="121" t="s">
        <v>13</v>
      </c>
      <c r="C140" s="121"/>
      <c r="D140" s="240">
        <f>D141+D148+D155+D158+D164</f>
        <v>289060</v>
      </c>
      <c r="E140" s="240">
        <f>E141+E148+E155+E158+E164</f>
        <v>297553</v>
      </c>
      <c r="F140" s="169">
        <f>E140-D140</f>
        <v>8493</v>
      </c>
      <c r="G140" s="170">
        <f>F140/D140</f>
        <v>0.029381443298969072</v>
      </c>
      <c r="H140" s="274"/>
      <c r="I140" s="275"/>
      <c r="J140" s="31"/>
      <c r="K140" s="31"/>
    </row>
    <row r="141" spans="1:11" s="4" customFormat="1" ht="18.75" customHeight="1">
      <c r="A141" s="137"/>
      <c r="B141" s="137"/>
      <c r="C141" s="121" t="s">
        <v>36</v>
      </c>
      <c r="D141" s="240">
        <v>188860</v>
      </c>
      <c r="E141" s="240">
        <v>171988</v>
      </c>
      <c r="F141" s="175" t="s">
        <v>284</v>
      </c>
      <c r="G141" s="231" t="s">
        <v>285</v>
      </c>
      <c r="H141" s="263" t="s">
        <v>43</v>
      </c>
      <c r="I141" s="264"/>
      <c r="J141" s="31"/>
      <c r="K141" s="31"/>
    </row>
    <row r="142" spans="1:11" s="4" customFormat="1" ht="18.75" customHeight="1">
      <c r="A142" s="137"/>
      <c r="B142" s="137"/>
      <c r="C142" s="127"/>
      <c r="D142" s="243"/>
      <c r="E142" s="243"/>
      <c r="F142" s="265"/>
      <c r="G142" s="266"/>
      <c r="H142" s="251"/>
      <c r="I142" s="246">
        <f>SUM(I143:I147)</f>
        <v>171988000</v>
      </c>
      <c r="J142" s="31"/>
      <c r="K142" s="31"/>
    </row>
    <row r="143" spans="1:11" s="4" customFormat="1" ht="18.75" customHeight="1">
      <c r="A143" s="137"/>
      <c r="B143" s="137"/>
      <c r="C143" s="127"/>
      <c r="D143" s="243"/>
      <c r="E143" s="243"/>
      <c r="F143" s="265"/>
      <c r="G143" s="266"/>
      <c r="H143" s="267" t="s">
        <v>197</v>
      </c>
      <c r="I143" s="246">
        <v>147378000</v>
      </c>
      <c r="J143" s="31"/>
      <c r="K143" s="31"/>
    </row>
    <row r="144" spans="1:11" s="4" customFormat="1" ht="18.75" customHeight="1">
      <c r="A144" s="137"/>
      <c r="B144" s="137"/>
      <c r="C144" s="127"/>
      <c r="D144" s="243"/>
      <c r="E144" s="243"/>
      <c r="F144" s="265"/>
      <c r="G144" s="266"/>
      <c r="H144" s="267" t="s">
        <v>198</v>
      </c>
      <c r="I144" s="246">
        <f>400*100*365</f>
        <v>14600000</v>
      </c>
      <c r="J144" s="31"/>
      <c r="K144" s="31"/>
    </row>
    <row r="145" spans="1:11" s="4" customFormat="1" ht="18.75" customHeight="1">
      <c r="A145" s="137"/>
      <c r="B145" s="137"/>
      <c r="C145" s="127"/>
      <c r="D145" s="243"/>
      <c r="E145" s="243"/>
      <c r="F145" s="265"/>
      <c r="G145" s="266"/>
      <c r="H145" s="267" t="s">
        <v>237</v>
      </c>
      <c r="I145" s="246">
        <f>40000*25*2</f>
        <v>2000000</v>
      </c>
      <c r="J145" s="31"/>
      <c r="K145" s="31"/>
    </row>
    <row r="146" spans="1:11" s="4" customFormat="1" ht="18.75" customHeight="1">
      <c r="A146" s="137"/>
      <c r="B146" s="137"/>
      <c r="C146" s="127"/>
      <c r="D146" s="243"/>
      <c r="E146" s="243"/>
      <c r="F146" s="265"/>
      <c r="G146" s="266"/>
      <c r="H146" s="267" t="s">
        <v>238</v>
      </c>
      <c r="I146" s="246">
        <f>43000*25*1</f>
        <v>1075000</v>
      </c>
      <c r="J146" s="31"/>
      <c r="K146" s="31"/>
    </row>
    <row r="147" spans="1:11" s="4" customFormat="1" ht="18.75" customHeight="1">
      <c r="A147" s="137"/>
      <c r="B147" s="137"/>
      <c r="C147" s="155"/>
      <c r="D147" s="259"/>
      <c r="E147" s="259"/>
      <c r="F147" s="260"/>
      <c r="G147" s="268"/>
      <c r="H147" s="267" t="s">
        <v>128</v>
      </c>
      <c r="I147" s="246">
        <f>950*20*365</f>
        <v>6935000</v>
      </c>
      <c r="J147" s="31"/>
      <c r="K147" s="31"/>
    </row>
    <row r="148" spans="1:11" s="4" customFormat="1" ht="18.75" customHeight="1">
      <c r="A148" s="137"/>
      <c r="B148" s="137"/>
      <c r="C148" s="121" t="s">
        <v>37</v>
      </c>
      <c r="D148" s="240">
        <v>46800</v>
      </c>
      <c r="E148" s="240">
        <v>46800</v>
      </c>
      <c r="F148" s="169">
        <f>E148-D148</f>
        <v>0</v>
      </c>
      <c r="G148" s="170">
        <f>F148/D148</f>
        <v>0</v>
      </c>
      <c r="H148" s="263" t="s">
        <v>66</v>
      </c>
      <c r="I148" s="264"/>
      <c r="J148" s="31"/>
      <c r="K148" s="31"/>
    </row>
    <row r="149" spans="1:11" s="4" customFormat="1" ht="18.75" customHeight="1">
      <c r="A149" s="137"/>
      <c r="B149" s="137"/>
      <c r="C149" s="127"/>
      <c r="D149" s="243"/>
      <c r="E149" s="243"/>
      <c r="F149" s="265"/>
      <c r="G149" s="266"/>
      <c r="H149" s="251"/>
      <c r="I149" s="246">
        <f>SUM(I150:I154)</f>
        <v>46800000</v>
      </c>
      <c r="J149" s="31"/>
      <c r="K149" s="31"/>
    </row>
    <row r="150" spans="1:11" s="4" customFormat="1" ht="18.75" customHeight="1">
      <c r="A150" s="137"/>
      <c r="B150" s="137"/>
      <c r="C150" s="127"/>
      <c r="D150" s="243"/>
      <c r="E150" s="243"/>
      <c r="F150" s="265"/>
      <c r="G150" s="266"/>
      <c r="H150" s="281" t="s">
        <v>129</v>
      </c>
      <c r="I150" s="246">
        <f>100000*12</f>
        <v>1200000</v>
      </c>
      <c r="J150" s="31"/>
      <c r="K150" s="31"/>
    </row>
    <row r="151" spans="1:11" s="4" customFormat="1" ht="18.75" customHeight="1">
      <c r="A151" s="137"/>
      <c r="B151" s="137"/>
      <c r="C151" s="127"/>
      <c r="D151" s="243"/>
      <c r="E151" s="243"/>
      <c r="F151" s="265"/>
      <c r="G151" s="266"/>
      <c r="H151" s="281" t="s">
        <v>166</v>
      </c>
      <c r="I151" s="246">
        <f>300000*12</f>
        <v>3600000</v>
      </c>
      <c r="J151" s="31"/>
      <c r="K151" s="31"/>
    </row>
    <row r="152" spans="1:11" s="4" customFormat="1" ht="18.75" customHeight="1">
      <c r="A152" s="137"/>
      <c r="B152" s="137"/>
      <c r="C152" s="127"/>
      <c r="D152" s="243"/>
      <c r="E152" s="243"/>
      <c r="F152" s="265"/>
      <c r="G152" s="266"/>
      <c r="H152" s="281" t="s">
        <v>167</v>
      </c>
      <c r="I152" s="246">
        <f>200000*12</f>
        <v>2400000</v>
      </c>
      <c r="J152" s="31"/>
      <c r="K152" s="31"/>
    </row>
    <row r="153" spans="1:11" s="4" customFormat="1" ht="18.75" customHeight="1">
      <c r="A153" s="137"/>
      <c r="B153" s="137"/>
      <c r="C153" s="127"/>
      <c r="D153" s="243"/>
      <c r="E153" s="243"/>
      <c r="F153" s="265"/>
      <c r="G153" s="266"/>
      <c r="H153" s="281" t="s">
        <v>155</v>
      </c>
      <c r="I153" s="246">
        <f>3000000*12</f>
        <v>36000000</v>
      </c>
      <c r="J153" s="31"/>
      <c r="K153" s="31"/>
    </row>
    <row r="154" spans="1:11" s="4" customFormat="1" ht="18.75" customHeight="1">
      <c r="A154" s="137"/>
      <c r="B154" s="137"/>
      <c r="C154" s="155"/>
      <c r="D154" s="259"/>
      <c r="E154" s="259"/>
      <c r="F154" s="260"/>
      <c r="G154" s="268"/>
      <c r="H154" s="287" t="s">
        <v>156</v>
      </c>
      <c r="I154" s="254">
        <f>300000*12</f>
        <v>3600000</v>
      </c>
      <c r="J154" s="31"/>
      <c r="K154" s="31"/>
    </row>
    <row r="155" spans="1:11" s="4" customFormat="1" ht="17.25" customHeight="1">
      <c r="A155" s="137"/>
      <c r="B155" s="137"/>
      <c r="C155" s="121" t="s">
        <v>67</v>
      </c>
      <c r="D155" s="240">
        <v>3000</v>
      </c>
      <c r="E155" s="240">
        <v>4000</v>
      </c>
      <c r="F155" s="169">
        <f>E155-D155</f>
        <v>1000</v>
      </c>
      <c r="G155" s="170">
        <f>F155/D155</f>
        <v>0.3333333333333333</v>
      </c>
      <c r="H155" s="263" t="s">
        <v>68</v>
      </c>
      <c r="I155" s="264"/>
      <c r="J155" s="31"/>
      <c r="K155" s="31"/>
    </row>
    <row r="156" spans="1:11" s="4" customFormat="1" ht="17.25" customHeight="1">
      <c r="A156" s="137"/>
      <c r="B156" s="137"/>
      <c r="C156" s="127"/>
      <c r="D156" s="243"/>
      <c r="E156" s="243"/>
      <c r="F156" s="265"/>
      <c r="G156" s="266"/>
      <c r="H156" s="251"/>
      <c r="I156" s="246">
        <f>I157</f>
        <v>4000000</v>
      </c>
      <c r="J156" s="31"/>
      <c r="K156" s="31"/>
    </row>
    <row r="157" spans="1:11" s="4" customFormat="1" ht="17.25" customHeight="1">
      <c r="A157" s="137"/>
      <c r="B157" s="137"/>
      <c r="C157" s="127"/>
      <c r="D157" s="243"/>
      <c r="E157" s="243"/>
      <c r="F157" s="265"/>
      <c r="G157" s="266"/>
      <c r="H157" s="267" t="s">
        <v>239</v>
      </c>
      <c r="I157" s="246">
        <f>2000000*2</f>
        <v>4000000</v>
      </c>
      <c r="J157" s="31"/>
      <c r="K157" s="31"/>
    </row>
    <row r="158" spans="1:11" s="4" customFormat="1" ht="17.25" customHeight="1">
      <c r="A158" s="137"/>
      <c r="B158" s="137"/>
      <c r="C158" s="121" t="s">
        <v>38</v>
      </c>
      <c r="D158" s="240">
        <v>3600</v>
      </c>
      <c r="E158" s="240">
        <v>27965</v>
      </c>
      <c r="F158" s="169">
        <f>E158-D158</f>
        <v>24365</v>
      </c>
      <c r="G158" s="170">
        <f>F158/D158</f>
        <v>6.768055555555556</v>
      </c>
      <c r="H158" s="263" t="s">
        <v>27</v>
      </c>
      <c r="I158" s="264"/>
      <c r="J158" s="31"/>
      <c r="K158" s="31"/>
    </row>
    <row r="159" spans="1:11" s="4" customFormat="1" ht="17.25" customHeight="1">
      <c r="A159" s="137"/>
      <c r="B159" s="137"/>
      <c r="C159" s="127"/>
      <c r="D159" s="243"/>
      <c r="E159" s="243"/>
      <c r="F159" s="265"/>
      <c r="G159" s="266"/>
      <c r="H159" s="251"/>
      <c r="I159" s="246">
        <f>SUM(I160:I163)</f>
        <v>27964800</v>
      </c>
      <c r="J159" s="31"/>
      <c r="K159" s="31"/>
    </row>
    <row r="160" spans="1:11" s="4" customFormat="1" ht="17.25" customHeight="1">
      <c r="A160" s="137"/>
      <c r="B160" s="137"/>
      <c r="C160" s="127"/>
      <c r="D160" s="243"/>
      <c r="E160" s="243"/>
      <c r="F160" s="265"/>
      <c r="G160" s="266"/>
      <c r="H160" s="288" t="s">
        <v>267</v>
      </c>
      <c r="I160" s="246">
        <f>2030400*12</f>
        <v>24364800</v>
      </c>
      <c r="J160" s="31"/>
      <c r="K160" s="31"/>
    </row>
    <row r="161" spans="1:11" s="4" customFormat="1" ht="17.25" customHeight="1">
      <c r="A161" s="137"/>
      <c r="B161" s="137"/>
      <c r="C161" s="127"/>
      <c r="D161" s="243"/>
      <c r="E161" s="243"/>
      <c r="F161" s="265"/>
      <c r="G161" s="266"/>
      <c r="H161" s="267" t="s">
        <v>240</v>
      </c>
      <c r="I161" s="246">
        <f>1000*100*1</f>
        <v>100000</v>
      </c>
      <c r="J161" s="31"/>
      <c r="K161" s="31"/>
    </row>
    <row r="162" spans="1:11" s="4" customFormat="1" ht="17.25" customHeight="1">
      <c r="A162" s="137"/>
      <c r="B162" s="137"/>
      <c r="C162" s="127"/>
      <c r="D162" s="243"/>
      <c r="E162" s="243"/>
      <c r="F162" s="265"/>
      <c r="G162" s="266"/>
      <c r="H162" s="267" t="s">
        <v>241</v>
      </c>
      <c r="I162" s="246">
        <f>20000*75*1</f>
        <v>1500000</v>
      </c>
      <c r="J162" s="31"/>
      <c r="K162" s="31"/>
    </row>
    <row r="163" spans="1:11" s="4" customFormat="1" ht="17.25" customHeight="1">
      <c r="A163" s="137"/>
      <c r="B163" s="137"/>
      <c r="C163" s="127"/>
      <c r="D163" s="243"/>
      <c r="E163" s="243"/>
      <c r="F163" s="265"/>
      <c r="G163" s="266"/>
      <c r="H163" s="267" t="s">
        <v>242</v>
      </c>
      <c r="I163" s="246">
        <f>500000*4</f>
        <v>2000000</v>
      </c>
      <c r="J163" s="31"/>
      <c r="K163" s="31"/>
    </row>
    <row r="164" spans="1:11" s="4" customFormat="1" ht="17.25" customHeight="1">
      <c r="A164" s="137"/>
      <c r="B164" s="137"/>
      <c r="C164" s="139" t="s">
        <v>39</v>
      </c>
      <c r="D164" s="289">
        <v>46800</v>
      </c>
      <c r="E164" s="289">
        <v>46800</v>
      </c>
      <c r="F164" s="169">
        <f>E164-D164</f>
        <v>0</v>
      </c>
      <c r="G164" s="170">
        <f>F164/D164</f>
        <v>0</v>
      </c>
      <c r="H164" s="263" t="s">
        <v>28</v>
      </c>
      <c r="I164" s="264"/>
      <c r="J164" s="31"/>
      <c r="K164" s="31"/>
    </row>
    <row r="165" spans="1:11" s="4" customFormat="1" ht="17.25" customHeight="1">
      <c r="A165" s="137"/>
      <c r="B165" s="137"/>
      <c r="C165" s="140"/>
      <c r="D165" s="206"/>
      <c r="E165" s="206"/>
      <c r="F165" s="265"/>
      <c r="G165" s="266"/>
      <c r="H165" s="251"/>
      <c r="I165" s="246">
        <f>SUM(I166:I167)</f>
        <v>46800000</v>
      </c>
      <c r="J165" s="31"/>
      <c r="K165" s="31"/>
    </row>
    <row r="166" spans="1:11" s="4" customFormat="1" ht="17.25" customHeight="1">
      <c r="A166" s="137"/>
      <c r="B166" s="137"/>
      <c r="C166" s="140"/>
      <c r="D166" s="206"/>
      <c r="E166" s="206"/>
      <c r="F166" s="265"/>
      <c r="G166" s="266"/>
      <c r="H166" s="290" t="s">
        <v>130</v>
      </c>
      <c r="I166" s="246">
        <f>3500000*12</f>
        <v>42000000</v>
      </c>
      <c r="J166" s="31"/>
      <c r="K166" s="31"/>
    </row>
    <row r="167" spans="1:11" s="4" customFormat="1" ht="17.25" customHeight="1">
      <c r="A167" s="137"/>
      <c r="B167" s="137"/>
      <c r="C167" s="145"/>
      <c r="D167" s="208"/>
      <c r="E167" s="208"/>
      <c r="F167" s="260"/>
      <c r="G167" s="268"/>
      <c r="H167" s="220" t="s">
        <v>131</v>
      </c>
      <c r="I167" s="254">
        <f>400000*12</f>
        <v>4800000</v>
      </c>
      <c r="J167" s="31"/>
      <c r="K167" s="31"/>
    </row>
    <row r="168" spans="1:11" s="4" customFormat="1" ht="17.25" customHeight="1">
      <c r="A168" s="137"/>
      <c r="B168" s="248" t="s">
        <v>158</v>
      </c>
      <c r="C168" s="140"/>
      <c r="D168" s="206">
        <v>15300</v>
      </c>
      <c r="E168" s="206">
        <v>15300</v>
      </c>
      <c r="F168" s="169">
        <f>E168-D168</f>
        <v>0</v>
      </c>
      <c r="G168" s="170">
        <f>F168/D168</f>
        <v>0</v>
      </c>
      <c r="H168" s="290"/>
      <c r="I168" s="246"/>
      <c r="J168" s="31"/>
      <c r="K168" s="31"/>
    </row>
    <row r="169" spans="1:11" s="4" customFormat="1" ht="17.25" customHeight="1">
      <c r="A169" s="137"/>
      <c r="B169" s="137"/>
      <c r="C169" s="291" t="s">
        <v>159</v>
      </c>
      <c r="D169" s="289">
        <v>15300</v>
      </c>
      <c r="E169" s="289">
        <v>15300</v>
      </c>
      <c r="F169" s="169">
        <f>E169-D169</f>
        <v>0</v>
      </c>
      <c r="G169" s="170">
        <f>F169/D169</f>
        <v>0</v>
      </c>
      <c r="H169" s="223" t="s">
        <v>160</v>
      </c>
      <c r="I169" s="280"/>
      <c r="J169" s="31"/>
      <c r="K169" s="31"/>
    </row>
    <row r="170" spans="1:11" s="4" customFormat="1" ht="17.25" customHeight="1">
      <c r="A170" s="137"/>
      <c r="B170" s="137"/>
      <c r="C170" s="140"/>
      <c r="D170" s="206"/>
      <c r="E170" s="206"/>
      <c r="F170" s="265"/>
      <c r="G170" s="266"/>
      <c r="H170" s="292"/>
      <c r="I170" s="246">
        <f>SUM(I171:I179)</f>
        <v>15300000</v>
      </c>
      <c r="J170" s="31"/>
      <c r="K170" s="31"/>
    </row>
    <row r="171" spans="1:11" s="4" customFormat="1" ht="17.25" customHeight="1">
      <c r="A171" s="137"/>
      <c r="B171" s="137"/>
      <c r="C171" s="140"/>
      <c r="D171" s="206"/>
      <c r="E171" s="206"/>
      <c r="F171" s="265"/>
      <c r="G171" s="266"/>
      <c r="H171" s="290" t="s">
        <v>185</v>
      </c>
      <c r="I171" s="246">
        <f>300000*12</f>
        <v>3600000</v>
      </c>
      <c r="J171" s="31"/>
      <c r="K171" s="31"/>
    </row>
    <row r="172" spans="1:11" s="4" customFormat="1" ht="17.25" customHeight="1">
      <c r="A172" s="137"/>
      <c r="B172" s="137"/>
      <c r="C172" s="140"/>
      <c r="D172" s="206"/>
      <c r="E172" s="206"/>
      <c r="F172" s="201"/>
      <c r="G172" s="266"/>
      <c r="H172" s="290" t="s">
        <v>243</v>
      </c>
      <c r="I172" s="246">
        <f>1300000*2</f>
        <v>2600000</v>
      </c>
      <c r="J172" s="31"/>
      <c r="K172" s="31"/>
    </row>
    <row r="173" spans="1:11" s="4" customFormat="1" ht="17.25" customHeight="1">
      <c r="A173" s="137"/>
      <c r="B173" s="137"/>
      <c r="C173" s="140"/>
      <c r="D173" s="206"/>
      <c r="E173" s="206"/>
      <c r="F173" s="265"/>
      <c r="G173" s="266"/>
      <c r="H173" s="290" t="s">
        <v>244</v>
      </c>
      <c r="I173" s="246">
        <f>2500000*1</f>
        <v>2500000</v>
      </c>
      <c r="J173" s="31"/>
      <c r="K173" s="31"/>
    </row>
    <row r="174" spans="1:11" s="4" customFormat="1" ht="17.25" customHeight="1">
      <c r="A174" s="137"/>
      <c r="B174" s="137"/>
      <c r="C174" s="140"/>
      <c r="D174" s="206"/>
      <c r="E174" s="206"/>
      <c r="F174" s="265"/>
      <c r="G174" s="266"/>
      <c r="H174" s="290" t="s">
        <v>245</v>
      </c>
      <c r="I174" s="246">
        <f>2500000*1</f>
        <v>2500000</v>
      </c>
      <c r="J174" s="31"/>
      <c r="K174" s="31"/>
    </row>
    <row r="175" spans="1:11" s="4" customFormat="1" ht="17.25" customHeight="1">
      <c r="A175" s="137"/>
      <c r="B175" s="137"/>
      <c r="C175" s="140"/>
      <c r="D175" s="206"/>
      <c r="E175" s="206"/>
      <c r="F175" s="265"/>
      <c r="G175" s="266"/>
      <c r="H175" s="290" t="s">
        <v>246</v>
      </c>
      <c r="I175" s="246">
        <f>500000*2</f>
        <v>1000000</v>
      </c>
      <c r="J175" s="31"/>
      <c r="K175" s="31"/>
    </row>
    <row r="176" spans="1:11" s="4" customFormat="1" ht="17.25" customHeight="1">
      <c r="A176" s="137"/>
      <c r="B176" s="137"/>
      <c r="C176" s="140"/>
      <c r="D176" s="206"/>
      <c r="E176" s="206"/>
      <c r="F176" s="265"/>
      <c r="G176" s="266"/>
      <c r="H176" s="290" t="s">
        <v>161</v>
      </c>
      <c r="I176" s="246">
        <f>100000*12</f>
        <v>1200000</v>
      </c>
      <c r="J176" s="31"/>
      <c r="K176" s="31"/>
    </row>
    <row r="177" spans="1:11" s="4" customFormat="1" ht="17.25" customHeight="1">
      <c r="A177" s="137"/>
      <c r="B177" s="137"/>
      <c r="C177" s="140"/>
      <c r="D177" s="206"/>
      <c r="E177" s="206"/>
      <c r="F177" s="265"/>
      <c r="G177" s="266"/>
      <c r="H177" s="290" t="s">
        <v>247</v>
      </c>
      <c r="I177" s="246">
        <f>300000*1</f>
        <v>300000</v>
      </c>
      <c r="J177" s="31"/>
      <c r="K177" s="31"/>
    </row>
    <row r="178" spans="1:11" s="4" customFormat="1" ht="17.25" customHeight="1">
      <c r="A178" s="137"/>
      <c r="B178" s="137"/>
      <c r="C178" s="140"/>
      <c r="D178" s="206"/>
      <c r="E178" s="206"/>
      <c r="F178" s="265"/>
      <c r="G178" s="266"/>
      <c r="H178" s="290" t="s">
        <v>186</v>
      </c>
      <c r="I178" s="246">
        <f>100000*12</f>
        <v>1200000</v>
      </c>
      <c r="J178" s="31"/>
      <c r="K178" s="31"/>
    </row>
    <row r="179" spans="1:11" s="4" customFormat="1" ht="17.25" customHeight="1">
      <c r="A179" s="137"/>
      <c r="B179" s="137"/>
      <c r="C179" s="140"/>
      <c r="D179" s="206"/>
      <c r="E179" s="206"/>
      <c r="F179" s="265"/>
      <c r="G179" s="266"/>
      <c r="H179" s="290" t="s">
        <v>248</v>
      </c>
      <c r="I179" s="246">
        <f>100000*4</f>
        <v>400000</v>
      </c>
      <c r="J179" s="31"/>
      <c r="K179" s="31"/>
    </row>
    <row r="180" spans="1:11" s="4" customFormat="1" ht="20.25" customHeight="1">
      <c r="A180" s="139" t="s">
        <v>25</v>
      </c>
      <c r="B180" s="139"/>
      <c r="C180" s="139"/>
      <c r="D180" s="289">
        <f>D181</f>
        <v>42000</v>
      </c>
      <c r="E180" s="289">
        <f>E181</f>
        <v>42000</v>
      </c>
      <c r="F180" s="169">
        <f>E180-D180</f>
        <v>0</v>
      </c>
      <c r="G180" s="170">
        <f>F180/D180</f>
        <v>0</v>
      </c>
      <c r="H180" s="293"/>
      <c r="I180" s="271"/>
      <c r="J180" s="31"/>
      <c r="K180" s="31"/>
    </row>
    <row r="181" spans="1:11" s="4" customFormat="1" ht="20.25" customHeight="1">
      <c r="A181" s="294"/>
      <c r="B181" s="139" t="s">
        <v>25</v>
      </c>
      <c r="C181" s="139"/>
      <c r="D181" s="289">
        <f>D182</f>
        <v>42000</v>
      </c>
      <c r="E181" s="289">
        <f>E182</f>
        <v>42000</v>
      </c>
      <c r="F181" s="169">
        <f>E181-D181</f>
        <v>0</v>
      </c>
      <c r="G181" s="170">
        <f>F181/D181</f>
        <v>0</v>
      </c>
      <c r="H181" s="295"/>
      <c r="I181" s="280"/>
      <c r="J181" s="31"/>
      <c r="K181" s="31"/>
    </row>
    <row r="182" spans="1:11" s="4" customFormat="1" ht="20.25" customHeight="1">
      <c r="A182" s="294"/>
      <c r="B182" s="294"/>
      <c r="C182" s="296" t="s">
        <v>40</v>
      </c>
      <c r="D182" s="289">
        <v>42000</v>
      </c>
      <c r="E182" s="289">
        <v>42000</v>
      </c>
      <c r="F182" s="169">
        <f>E182-D182</f>
        <v>0</v>
      </c>
      <c r="G182" s="170">
        <f>F182/D182</f>
        <v>0</v>
      </c>
      <c r="H182" s="297" t="s">
        <v>42</v>
      </c>
      <c r="I182" s="280"/>
      <c r="J182" s="31"/>
      <c r="K182" s="31"/>
    </row>
    <row r="183" spans="1:11" s="4" customFormat="1" ht="20.25" customHeight="1">
      <c r="A183" s="294"/>
      <c r="B183" s="294"/>
      <c r="C183" s="298"/>
      <c r="D183" s="206"/>
      <c r="E183" s="206"/>
      <c r="F183" s="176"/>
      <c r="G183" s="299"/>
      <c r="H183" s="300"/>
      <c r="I183" s="246">
        <f>SUM(I184:I185)</f>
        <v>42000000</v>
      </c>
      <c r="J183" s="31"/>
      <c r="K183" s="31"/>
    </row>
    <row r="184" spans="1:11" s="4" customFormat="1" ht="20.25" customHeight="1">
      <c r="A184" s="294"/>
      <c r="B184" s="294"/>
      <c r="C184" s="298"/>
      <c r="D184" s="206"/>
      <c r="E184" s="206"/>
      <c r="F184" s="265"/>
      <c r="G184" s="266"/>
      <c r="H184" s="281" t="s">
        <v>249</v>
      </c>
      <c r="I184" s="246">
        <f>2000000*6</f>
        <v>12000000</v>
      </c>
      <c r="J184" s="31"/>
      <c r="K184" s="31"/>
    </row>
    <row r="185" spans="1:11" s="4" customFormat="1" ht="20.25" customHeight="1">
      <c r="A185" s="301"/>
      <c r="B185" s="301"/>
      <c r="C185" s="302"/>
      <c r="D185" s="208"/>
      <c r="E185" s="208"/>
      <c r="F185" s="260"/>
      <c r="G185" s="268"/>
      <c r="H185" s="287" t="s">
        <v>250</v>
      </c>
      <c r="I185" s="254">
        <v>30000000</v>
      </c>
      <c r="J185" s="31"/>
      <c r="K185" s="31"/>
    </row>
    <row r="186" spans="1:11" s="4" customFormat="1" ht="18" customHeight="1">
      <c r="A186" s="139" t="s">
        <v>3</v>
      </c>
      <c r="B186" s="139"/>
      <c r="C186" s="139"/>
      <c r="D186" s="303">
        <f>D187</f>
        <v>16336</v>
      </c>
      <c r="E186" s="303">
        <f>E187</f>
        <v>23336</v>
      </c>
      <c r="F186" s="169">
        <f>E186-D186</f>
        <v>7000</v>
      </c>
      <c r="G186" s="170">
        <f>F186/D186</f>
        <v>0.4285014691478942</v>
      </c>
      <c r="H186" s="293"/>
      <c r="I186" s="271"/>
      <c r="J186" s="31"/>
      <c r="K186" s="31"/>
    </row>
    <row r="187" spans="1:11" s="4" customFormat="1" ht="18" customHeight="1">
      <c r="A187" s="127"/>
      <c r="B187" s="121" t="s">
        <v>3</v>
      </c>
      <c r="C187" s="117"/>
      <c r="D187" s="304">
        <f>D188</f>
        <v>16336</v>
      </c>
      <c r="E187" s="304">
        <f>E188</f>
        <v>23336</v>
      </c>
      <c r="F187" s="169">
        <f>E187-D187</f>
        <v>7000</v>
      </c>
      <c r="G187" s="170">
        <f>F187/D187</f>
        <v>0.4285014691478942</v>
      </c>
      <c r="H187" s="293"/>
      <c r="I187" s="254"/>
      <c r="J187" s="31"/>
      <c r="K187" s="31"/>
    </row>
    <row r="188" spans="1:11" s="4" customFormat="1" ht="18" customHeight="1">
      <c r="A188" s="127"/>
      <c r="B188" s="127"/>
      <c r="C188" s="121" t="s">
        <v>3</v>
      </c>
      <c r="D188" s="169">
        <v>16336</v>
      </c>
      <c r="E188" s="169">
        <v>23336</v>
      </c>
      <c r="F188" s="169">
        <f>E188-D188</f>
        <v>7000</v>
      </c>
      <c r="G188" s="170">
        <f>F188/D188</f>
        <v>0.4285014691478942</v>
      </c>
      <c r="H188" s="249" t="s">
        <v>69</v>
      </c>
      <c r="I188" s="250"/>
      <c r="J188" s="31"/>
      <c r="K188" s="31"/>
    </row>
    <row r="189" spans="1:11" s="4" customFormat="1" ht="18" customHeight="1">
      <c r="A189" s="127"/>
      <c r="B189" s="127"/>
      <c r="C189" s="127"/>
      <c r="D189" s="305"/>
      <c r="E189" s="305"/>
      <c r="F189" s="265"/>
      <c r="G189" s="266"/>
      <c r="H189" s="251"/>
      <c r="I189" s="246">
        <f>SUM(I190:I194)</f>
        <v>23335200</v>
      </c>
      <c r="J189" s="31"/>
      <c r="K189" s="31"/>
    </row>
    <row r="190" spans="1:11" s="4" customFormat="1" ht="18" customHeight="1">
      <c r="A190" s="127"/>
      <c r="B190" s="127"/>
      <c r="C190" s="127"/>
      <c r="D190" s="305"/>
      <c r="E190" s="305"/>
      <c r="F190" s="265"/>
      <c r="G190" s="266"/>
      <c r="H190" s="281" t="s">
        <v>251</v>
      </c>
      <c r="I190" s="246">
        <f>7000000*1</f>
        <v>7000000</v>
      </c>
      <c r="J190" s="31"/>
      <c r="K190" s="31"/>
    </row>
    <row r="191" spans="1:11" s="4" customFormat="1" ht="18" customHeight="1">
      <c r="A191" s="127"/>
      <c r="B191" s="127"/>
      <c r="C191" s="127"/>
      <c r="D191" s="305"/>
      <c r="E191" s="305"/>
      <c r="F191" s="265"/>
      <c r="G191" s="266"/>
      <c r="H191" s="281" t="s">
        <v>252</v>
      </c>
      <c r="I191" s="246">
        <f>300000*1</f>
        <v>300000</v>
      </c>
      <c r="J191" s="31"/>
      <c r="K191" s="31"/>
    </row>
    <row r="192" spans="1:11" s="4" customFormat="1" ht="18" customHeight="1">
      <c r="A192" s="127"/>
      <c r="B192" s="127"/>
      <c r="C192" s="127"/>
      <c r="D192" s="305"/>
      <c r="E192" s="305"/>
      <c r="F192" s="265"/>
      <c r="G192" s="266"/>
      <c r="H192" s="281" t="s">
        <v>283</v>
      </c>
      <c r="I192" s="246">
        <f>6500000*2</f>
        <v>13000000</v>
      </c>
      <c r="J192" s="31"/>
      <c r="K192" s="31"/>
    </row>
    <row r="193" spans="1:11" s="4" customFormat="1" ht="18" customHeight="1">
      <c r="A193" s="127"/>
      <c r="B193" s="127"/>
      <c r="C193" s="127"/>
      <c r="D193" s="305"/>
      <c r="E193" s="305"/>
      <c r="F193" s="265"/>
      <c r="G193" s="266"/>
      <c r="H193" s="281" t="s">
        <v>268</v>
      </c>
      <c r="I193" s="246">
        <f>1000000*1</f>
        <v>1000000</v>
      </c>
      <c r="J193" s="31"/>
      <c r="K193" s="31"/>
    </row>
    <row r="194" spans="1:11" s="4" customFormat="1" ht="18" customHeight="1">
      <c r="A194" s="155"/>
      <c r="B194" s="155"/>
      <c r="C194" s="155"/>
      <c r="D194" s="259"/>
      <c r="E194" s="259"/>
      <c r="F194" s="260"/>
      <c r="G194" s="268"/>
      <c r="H194" s="281" t="s">
        <v>286</v>
      </c>
      <c r="I194" s="254">
        <f>169600*12</f>
        <v>2035200</v>
      </c>
      <c r="J194" s="31"/>
      <c r="K194" s="31"/>
    </row>
    <row r="195" spans="1:11" s="4" customFormat="1" ht="18" customHeight="1">
      <c r="A195" s="121" t="s">
        <v>171</v>
      </c>
      <c r="B195" s="117"/>
      <c r="C195" s="117"/>
      <c r="D195" s="239">
        <f>D196</f>
        <v>13569</v>
      </c>
      <c r="E195" s="239">
        <f>E196</f>
        <v>15569</v>
      </c>
      <c r="F195" s="169">
        <f>E195-D195</f>
        <v>2000</v>
      </c>
      <c r="G195" s="170">
        <f>F195/D195</f>
        <v>0.1473947969636672</v>
      </c>
      <c r="H195" s="293"/>
      <c r="I195" s="271"/>
      <c r="J195" s="31"/>
      <c r="K195" s="31"/>
    </row>
    <row r="196" spans="1:11" s="4" customFormat="1" ht="18" customHeight="1">
      <c r="A196" s="137"/>
      <c r="B196" s="121" t="s">
        <v>171</v>
      </c>
      <c r="C196" s="117"/>
      <c r="D196" s="239">
        <f>D197+D200</f>
        <v>13569</v>
      </c>
      <c r="E196" s="239">
        <f>E197+E200</f>
        <v>15569</v>
      </c>
      <c r="F196" s="169">
        <f>E196-D196</f>
        <v>2000</v>
      </c>
      <c r="G196" s="170">
        <f>F196/D196</f>
        <v>0.1473947969636672</v>
      </c>
      <c r="H196" s="293"/>
      <c r="I196" s="271"/>
      <c r="J196" s="31"/>
      <c r="K196" s="31"/>
    </row>
    <row r="197" spans="1:11" s="4" customFormat="1" ht="18" customHeight="1">
      <c r="A197" s="137"/>
      <c r="B197" s="137"/>
      <c r="C197" s="121" t="s">
        <v>2</v>
      </c>
      <c r="D197" s="240">
        <v>12569</v>
      </c>
      <c r="E197" s="240">
        <v>12569</v>
      </c>
      <c r="F197" s="169">
        <f>E197-D197</f>
        <v>0</v>
      </c>
      <c r="G197" s="170">
        <f>F197/D197</f>
        <v>0</v>
      </c>
      <c r="H197" s="263" t="s">
        <v>70</v>
      </c>
      <c r="I197" s="264"/>
      <c r="J197" s="31"/>
      <c r="K197" s="31"/>
    </row>
    <row r="198" spans="1:11" s="4" customFormat="1" ht="18" customHeight="1">
      <c r="A198" s="137"/>
      <c r="B198" s="137"/>
      <c r="C198" s="127"/>
      <c r="D198" s="243"/>
      <c r="E198" s="243"/>
      <c r="F198" s="265"/>
      <c r="G198" s="266"/>
      <c r="H198" s="251"/>
      <c r="I198" s="246">
        <f>I199</f>
        <v>12567859</v>
      </c>
      <c r="J198" s="31"/>
      <c r="K198" s="31"/>
    </row>
    <row r="199" spans="1:11" s="4" customFormat="1" ht="18" customHeight="1">
      <c r="A199" s="137"/>
      <c r="B199" s="137"/>
      <c r="C199" s="155"/>
      <c r="D199" s="259"/>
      <c r="E199" s="259"/>
      <c r="F199" s="260"/>
      <c r="G199" s="268"/>
      <c r="H199" s="287" t="s">
        <v>2</v>
      </c>
      <c r="I199" s="254">
        <v>12567859</v>
      </c>
      <c r="J199" s="31"/>
      <c r="K199" s="31"/>
    </row>
    <row r="200" spans="1:11" s="4" customFormat="1" ht="18" customHeight="1">
      <c r="A200" s="137"/>
      <c r="B200" s="137"/>
      <c r="C200" s="121" t="s">
        <v>71</v>
      </c>
      <c r="D200" s="240">
        <v>1000</v>
      </c>
      <c r="E200" s="240">
        <v>3000</v>
      </c>
      <c r="F200" s="169">
        <f>E200-D200</f>
        <v>2000</v>
      </c>
      <c r="G200" s="170">
        <f>F200/D200</f>
        <v>2</v>
      </c>
      <c r="H200" s="263" t="s">
        <v>72</v>
      </c>
      <c r="I200" s="264"/>
      <c r="J200" s="31"/>
      <c r="K200" s="31"/>
    </row>
    <row r="201" spans="1:11" s="4" customFormat="1" ht="18" customHeight="1">
      <c r="A201" s="137"/>
      <c r="B201" s="137"/>
      <c r="C201" s="127"/>
      <c r="D201" s="243"/>
      <c r="E201" s="243"/>
      <c r="F201" s="265"/>
      <c r="G201" s="266"/>
      <c r="H201" s="251"/>
      <c r="I201" s="246">
        <f>I202</f>
        <v>3000000</v>
      </c>
      <c r="J201" s="31"/>
      <c r="K201" s="31"/>
    </row>
    <row r="202" spans="1:11" s="4" customFormat="1" ht="18" customHeight="1">
      <c r="A202" s="138"/>
      <c r="B202" s="138"/>
      <c r="C202" s="155"/>
      <c r="D202" s="259"/>
      <c r="E202" s="259"/>
      <c r="F202" s="260"/>
      <c r="G202" s="268"/>
      <c r="H202" s="287" t="s">
        <v>73</v>
      </c>
      <c r="I202" s="254">
        <v>3000000</v>
      </c>
      <c r="J202" s="31"/>
      <c r="K202" s="31"/>
    </row>
    <row r="203" spans="1:11" s="4" customFormat="1" ht="18" customHeight="1">
      <c r="A203" s="121" t="s">
        <v>4</v>
      </c>
      <c r="B203" s="117"/>
      <c r="C203" s="117"/>
      <c r="D203" s="239">
        <f>D204</f>
        <v>48000</v>
      </c>
      <c r="E203" s="239">
        <f>E204</f>
        <v>48000</v>
      </c>
      <c r="F203" s="169">
        <f>E203-D203</f>
        <v>0</v>
      </c>
      <c r="G203" s="170">
        <f>F203/D203</f>
        <v>0</v>
      </c>
      <c r="H203" s="293"/>
      <c r="I203" s="271"/>
      <c r="J203" s="31"/>
      <c r="K203" s="31"/>
    </row>
    <row r="204" spans="1:11" s="4" customFormat="1" ht="18" customHeight="1">
      <c r="A204" s="127"/>
      <c r="B204" s="121" t="s">
        <v>5</v>
      </c>
      <c r="C204" s="117"/>
      <c r="D204" s="239">
        <f>D205</f>
        <v>48000</v>
      </c>
      <c r="E204" s="239">
        <f>E205</f>
        <v>48000</v>
      </c>
      <c r="F204" s="169">
        <f>E204-D204</f>
        <v>0</v>
      </c>
      <c r="G204" s="170">
        <f>F204/D204</f>
        <v>0</v>
      </c>
      <c r="H204" s="293"/>
      <c r="I204" s="271"/>
      <c r="J204" s="31"/>
      <c r="K204" s="31"/>
    </row>
    <row r="205" spans="1:11" s="4" customFormat="1" ht="18" customHeight="1">
      <c r="A205" s="127"/>
      <c r="B205" s="127"/>
      <c r="C205" s="127" t="s">
        <v>5</v>
      </c>
      <c r="D205" s="243">
        <v>48000</v>
      </c>
      <c r="E205" s="243">
        <v>48000</v>
      </c>
      <c r="F205" s="169">
        <f>E205-D205</f>
        <v>0</v>
      </c>
      <c r="G205" s="170">
        <f>F205/D205</f>
        <v>0</v>
      </c>
      <c r="H205" s="263" t="s">
        <v>74</v>
      </c>
      <c r="I205" s="280"/>
      <c r="J205" s="31"/>
      <c r="K205" s="31"/>
    </row>
    <row r="206" spans="1:11" s="4" customFormat="1" ht="18" customHeight="1">
      <c r="A206" s="155"/>
      <c r="B206" s="155"/>
      <c r="C206" s="155"/>
      <c r="D206" s="259"/>
      <c r="E206" s="259"/>
      <c r="F206" s="260"/>
      <c r="G206" s="268"/>
      <c r="H206" s="287" t="s">
        <v>133</v>
      </c>
      <c r="I206" s="254">
        <v>48000000</v>
      </c>
      <c r="J206" s="31"/>
      <c r="K206" s="31"/>
    </row>
    <row r="207" spans="1:11" s="4" customFormat="1" ht="18" customHeight="1">
      <c r="A207" s="121" t="s">
        <v>6</v>
      </c>
      <c r="B207" s="117"/>
      <c r="C207" s="117"/>
      <c r="D207" s="239">
        <f>D208</f>
        <v>12000</v>
      </c>
      <c r="E207" s="239">
        <f>E208</f>
        <v>12000</v>
      </c>
      <c r="F207" s="169">
        <f>E207-D207</f>
        <v>0</v>
      </c>
      <c r="G207" s="170">
        <f>F207/D207</f>
        <v>0</v>
      </c>
      <c r="H207" s="293"/>
      <c r="I207" s="271"/>
      <c r="J207" s="31"/>
      <c r="K207" s="31"/>
    </row>
    <row r="208" spans="1:11" s="4" customFormat="1" ht="18" customHeight="1">
      <c r="A208" s="127"/>
      <c r="B208" s="127" t="s">
        <v>7</v>
      </c>
      <c r="C208" s="155"/>
      <c r="D208" s="259">
        <f>D209</f>
        <v>12000</v>
      </c>
      <c r="E208" s="259">
        <f>E209</f>
        <v>12000</v>
      </c>
      <c r="F208" s="169">
        <f>E208-D208</f>
        <v>0</v>
      </c>
      <c r="G208" s="170">
        <f>F208/D208</f>
        <v>0</v>
      </c>
      <c r="H208" s="287"/>
      <c r="I208" s="254"/>
      <c r="J208" s="31"/>
      <c r="K208" s="31"/>
    </row>
    <row r="209" spans="1:11" s="4" customFormat="1" ht="18" customHeight="1">
      <c r="A209" s="127"/>
      <c r="B209" s="127"/>
      <c r="C209" s="127" t="s">
        <v>75</v>
      </c>
      <c r="D209" s="243">
        <v>12000</v>
      </c>
      <c r="E209" s="243">
        <v>12000</v>
      </c>
      <c r="F209" s="169">
        <f>E209-D209</f>
        <v>0</v>
      </c>
      <c r="G209" s="170">
        <f>F209/D209</f>
        <v>0</v>
      </c>
      <c r="H209" s="263" t="s">
        <v>76</v>
      </c>
      <c r="I209" s="280"/>
      <c r="J209" s="31"/>
      <c r="K209" s="31"/>
    </row>
    <row r="210" spans="1:11" s="4" customFormat="1" ht="18" customHeight="1">
      <c r="A210" s="155"/>
      <c r="B210" s="155"/>
      <c r="C210" s="155"/>
      <c r="D210" s="259"/>
      <c r="E210" s="259"/>
      <c r="F210" s="260"/>
      <c r="G210" s="268"/>
      <c r="H210" s="287" t="s">
        <v>134</v>
      </c>
      <c r="I210" s="254">
        <v>12000000</v>
      </c>
      <c r="J210" s="31"/>
      <c r="K210" s="31"/>
    </row>
    <row r="211" spans="1:11" s="4" customFormat="1" ht="19.5" customHeight="1">
      <c r="A211" s="23"/>
      <c r="B211" s="23"/>
      <c r="C211" s="23"/>
      <c r="D211" s="24"/>
      <c r="E211" s="25"/>
      <c r="F211" s="25"/>
      <c r="G211" s="25"/>
      <c r="H211" s="26"/>
      <c r="I211" s="27"/>
      <c r="J211" s="31"/>
      <c r="K211" s="31"/>
    </row>
    <row r="212" spans="1:11" s="4" customFormat="1" ht="19.5" customHeight="1">
      <c r="A212" s="23"/>
      <c r="B212" s="23"/>
      <c r="C212" s="23"/>
      <c r="D212" s="24"/>
      <c r="E212" s="25"/>
      <c r="F212" s="25"/>
      <c r="G212" s="25"/>
      <c r="H212" s="28"/>
      <c r="I212" s="27"/>
      <c r="J212" s="31"/>
      <c r="K212" s="31"/>
    </row>
    <row r="213" spans="1:11" s="4" customFormat="1" ht="19.5" customHeight="1">
      <c r="A213" s="23"/>
      <c r="B213" s="23"/>
      <c r="C213" s="23"/>
      <c r="D213" s="24"/>
      <c r="E213" s="25"/>
      <c r="F213" s="25"/>
      <c r="G213" s="25"/>
      <c r="H213" s="28"/>
      <c r="I213" s="27"/>
      <c r="J213" s="31"/>
      <c r="K213" s="31"/>
    </row>
    <row r="214" spans="1:11" s="4" customFormat="1" ht="19.5" customHeight="1">
      <c r="A214" s="23"/>
      <c r="B214" s="23"/>
      <c r="C214" s="23"/>
      <c r="D214" s="24"/>
      <c r="E214" s="25"/>
      <c r="F214" s="25"/>
      <c r="G214" s="25"/>
      <c r="H214" s="28"/>
      <c r="I214" s="27"/>
      <c r="J214" s="31"/>
      <c r="K214" s="31"/>
    </row>
    <row r="215" spans="1:11" s="4" customFormat="1" ht="19.5" customHeight="1">
      <c r="A215" s="15"/>
      <c r="B215" s="15"/>
      <c r="C215" s="15"/>
      <c r="D215" s="20"/>
      <c r="E215" s="5"/>
      <c r="F215" s="5"/>
      <c r="G215" s="5"/>
      <c r="H215" s="1"/>
      <c r="J215" s="31"/>
      <c r="K215" s="31"/>
    </row>
    <row r="216" spans="1:11" s="4" customFormat="1" ht="19.5" customHeight="1">
      <c r="A216" s="15"/>
      <c r="B216" s="15"/>
      <c r="C216" s="15"/>
      <c r="D216" s="20"/>
      <c r="E216" s="5"/>
      <c r="F216" s="5"/>
      <c r="G216" s="5"/>
      <c r="H216" s="1"/>
      <c r="J216" s="31"/>
      <c r="K216" s="31"/>
    </row>
    <row r="217" spans="1:11" s="4" customFormat="1" ht="19.5" customHeight="1">
      <c r="A217" s="15"/>
      <c r="B217" s="15"/>
      <c r="C217" s="15"/>
      <c r="D217" s="20"/>
      <c r="E217" s="5"/>
      <c r="F217" s="10"/>
      <c r="G217" s="10"/>
      <c r="H217" s="3"/>
      <c r="J217" s="31"/>
      <c r="K217" s="31"/>
    </row>
    <row r="218" spans="1:11" s="4" customFormat="1" ht="19.5" customHeight="1">
      <c r="A218" s="15"/>
      <c r="B218" s="15"/>
      <c r="C218" s="15"/>
      <c r="D218" s="20"/>
      <c r="E218" s="5"/>
      <c r="F218" s="10"/>
      <c r="G218" s="10"/>
      <c r="H218" s="3"/>
      <c r="J218" s="31"/>
      <c r="K218" s="31"/>
    </row>
    <row r="219" spans="1:11" s="4" customFormat="1" ht="19.5" customHeight="1">
      <c r="A219" s="15"/>
      <c r="B219" s="15"/>
      <c r="C219" s="15"/>
      <c r="D219" s="20"/>
      <c r="E219" s="5"/>
      <c r="F219" s="10"/>
      <c r="G219" s="10"/>
      <c r="H219" s="3"/>
      <c r="J219" s="31"/>
      <c r="K219" s="31"/>
    </row>
    <row r="220" spans="1:11" s="4" customFormat="1" ht="19.5" customHeight="1">
      <c r="A220" s="15"/>
      <c r="B220" s="15"/>
      <c r="C220" s="15"/>
      <c r="D220" s="20"/>
      <c r="E220" s="5"/>
      <c r="F220" s="10"/>
      <c r="G220" s="10"/>
      <c r="H220" s="3"/>
      <c r="J220" s="31"/>
      <c r="K220" s="31"/>
    </row>
    <row r="221" spans="1:11" s="4" customFormat="1" ht="19.5" customHeight="1">
      <c r="A221" s="15"/>
      <c r="B221" s="15"/>
      <c r="C221" s="15"/>
      <c r="D221" s="20"/>
      <c r="E221" s="5"/>
      <c r="F221" s="10"/>
      <c r="G221" s="10"/>
      <c r="H221" s="3"/>
      <c r="J221" s="31"/>
      <c r="K221" s="31"/>
    </row>
    <row r="222" spans="1:11" s="4" customFormat="1" ht="19.5" customHeight="1">
      <c r="A222" s="15"/>
      <c r="B222" s="15"/>
      <c r="C222" s="15"/>
      <c r="D222" s="20"/>
      <c r="E222" s="5"/>
      <c r="F222" s="10"/>
      <c r="G222" s="10"/>
      <c r="H222" s="3"/>
      <c r="J222" s="31"/>
      <c r="K222" s="31"/>
    </row>
    <row r="223" spans="1:11" s="4" customFormat="1" ht="19.5" customHeight="1">
      <c r="A223" s="15"/>
      <c r="B223" s="15"/>
      <c r="C223" s="15"/>
      <c r="D223" s="20"/>
      <c r="E223" s="5"/>
      <c r="F223" s="10"/>
      <c r="G223" s="10"/>
      <c r="H223" s="3"/>
      <c r="J223" s="31"/>
      <c r="K223" s="31"/>
    </row>
    <row r="224" spans="1:11" s="4" customFormat="1" ht="19.5" customHeight="1">
      <c r="A224" s="15"/>
      <c r="B224" s="15"/>
      <c r="C224" s="15"/>
      <c r="D224" s="20"/>
      <c r="E224" s="5"/>
      <c r="F224" s="10"/>
      <c r="G224" s="10"/>
      <c r="H224" s="3"/>
      <c r="J224" s="31"/>
      <c r="K224" s="31"/>
    </row>
    <row r="225" spans="1:11" s="4" customFormat="1" ht="19.5" customHeight="1">
      <c r="A225" s="15"/>
      <c r="B225" s="15"/>
      <c r="C225" s="15"/>
      <c r="D225" s="20"/>
      <c r="E225" s="5"/>
      <c r="F225" s="10"/>
      <c r="G225" s="10"/>
      <c r="H225" s="3"/>
      <c r="J225" s="31"/>
      <c r="K225" s="31"/>
    </row>
    <row r="226" spans="1:11" s="4" customFormat="1" ht="19.5" customHeight="1">
      <c r="A226" s="15"/>
      <c r="B226" s="15"/>
      <c r="C226" s="15"/>
      <c r="D226" s="20"/>
      <c r="E226" s="5"/>
      <c r="F226" s="10"/>
      <c r="G226" s="10"/>
      <c r="H226" s="3"/>
      <c r="J226" s="31"/>
      <c r="K226" s="31"/>
    </row>
    <row r="227" spans="1:11" s="4" customFormat="1" ht="19.5" customHeight="1">
      <c r="A227" s="15"/>
      <c r="B227" s="15"/>
      <c r="C227" s="15"/>
      <c r="D227" s="20"/>
      <c r="E227" s="5"/>
      <c r="F227" s="10"/>
      <c r="G227" s="10"/>
      <c r="H227" s="3"/>
      <c r="J227" s="31"/>
      <c r="K227" s="31"/>
    </row>
    <row r="228" spans="1:11" s="4" customFormat="1" ht="19.5" customHeight="1" collapsed="1">
      <c r="A228" s="15"/>
      <c r="B228" s="15"/>
      <c r="C228" s="15"/>
      <c r="D228" s="20"/>
      <c r="E228" s="5"/>
      <c r="F228" s="10"/>
      <c r="G228" s="10"/>
      <c r="H228" s="3"/>
      <c r="J228" s="31"/>
      <c r="K228" s="31"/>
    </row>
    <row r="229" spans="1:11" s="4" customFormat="1" ht="19.5" customHeight="1">
      <c r="A229" s="15"/>
      <c r="B229" s="15"/>
      <c r="C229" s="15"/>
      <c r="D229" s="20"/>
      <c r="E229" s="5"/>
      <c r="F229" s="10"/>
      <c r="G229" s="10"/>
      <c r="H229" s="3"/>
      <c r="J229" s="31"/>
      <c r="K229" s="31"/>
    </row>
    <row r="230" spans="1:11" s="4" customFormat="1" ht="19.5" customHeight="1">
      <c r="A230" s="15"/>
      <c r="B230" s="15"/>
      <c r="C230" s="15"/>
      <c r="D230" s="20"/>
      <c r="E230" s="5"/>
      <c r="F230" s="10"/>
      <c r="G230" s="10"/>
      <c r="H230" s="3"/>
      <c r="J230" s="31"/>
      <c r="K230" s="31"/>
    </row>
    <row r="231" spans="1:11" s="4" customFormat="1" ht="19.5" customHeight="1">
      <c r="A231" s="15"/>
      <c r="B231" s="15"/>
      <c r="C231" s="15"/>
      <c r="D231" s="20"/>
      <c r="E231" s="5"/>
      <c r="F231" s="10"/>
      <c r="G231" s="10"/>
      <c r="H231" s="3"/>
      <c r="J231" s="31"/>
      <c r="K231" s="31"/>
    </row>
    <row r="232" spans="1:11" s="4" customFormat="1" ht="19.5" customHeight="1">
      <c r="A232" s="15"/>
      <c r="B232" s="15"/>
      <c r="C232" s="15"/>
      <c r="D232" s="20"/>
      <c r="E232" s="5"/>
      <c r="F232" s="10"/>
      <c r="G232" s="10"/>
      <c r="H232" s="3"/>
      <c r="J232" s="31"/>
      <c r="K232" s="31"/>
    </row>
    <row r="233" spans="1:11" s="4" customFormat="1" ht="19.5" customHeight="1">
      <c r="A233" s="15"/>
      <c r="B233" s="15"/>
      <c r="C233" s="15"/>
      <c r="D233" s="20"/>
      <c r="E233" s="5"/>
      <c r="F233" s="10"/>
      <c r="G233" s="10"/>
      <c r="H233" s="3"/>
      <c r="J233" s="31"/>
      <c r="K233" s="31"/>
    </row>
    <row r="234" spans="1:11" s="4" customFormat="1" ht="19.5" customHeight="1">
      <c r="A234" s="15"/>
      <c r="B234" s="15"/>
      <c r="C234" s="15"/>
      <c r="D234" s="20"/>
      <c r="E234" s="5"/>
      <c r="F234" s="10"/>
      <c r="G234" s="10"/>
      <c r="H234" s="3"/>
      <c r="J234" s="31"/>
      <c r="K234" s="31"/>
    </row>
    <row r="235" spans="1:11" s="4" customFormat="1" ht="19.5" customHeight="1">
      <c r="A235" s="15"/>
      <c r="B235" s="15"/>
      <c r="C235" s="15"/>
      <c r="D235" s="20"/>
      <c r="E235" s="5"/>
      <c r="F235" s="10"/>
      <c r="G235" s="10"/>
      <c r="H235" s="3"/>
      <c r="J235" s="31"/>
      <c r="K235" s="31"/>
    </row>
    <row r="236" spans="1:11" s="4" customFormat="1" ht="19.5" customHeight="1">
      <c r="A236" s="15"/>
      <c r="B236" s="15"/>
      <c r="C236" s="15"/>
      <c r="D236" s="20"/>
      <c r="E236" s="5"/>
      <c r="F236" s="10"/>
      <c r="G236" s="10"/>
      <c r="H236" s="3"/>
      <c r="J236" s="31"/>
      <c r="K236" s="31"/>
    </row>
    <row r="237" spans="1:11" s="4" customFormat="1" ht="19.5" customHeight="1">
      <c r="A237" s="15"/>
      <c r="B237" s="15"/>
      <c r="C237" s="15"/>
      <c r="D237" s="20"/>
      <c r="E237" s="5"/>
      <c r="F237" s="10"/>
      <c r="G237" s="10"/>
      <c r="H237" s="3"/>
      <c r="J237" s="31"/>
      <c r="K237" s="31"/>
    </row>
    <row r="238" spans="1:11" s="4" customFormat="1" ht="19.5" customHeight="1">
      <c r="A238" s="15"/>
      <c r="B238" s="15"/>
      <c r="C238" s="15"/>
      <c r="D238" s="20"/>
      <c r="E238" s="5"/>
      <c r="F238" s="10"/>
      <c r="G238" s="10"/>
      <c r="H238" s="3"/>
      <c r="J238" s="31"/>
      <c r="K238" s="31"/>
    </row>
    <row r="239" spans="1:11" s="4" customFormat="1" ht="24.75" customHeight="1">
      <c r="A239" s="15"/>
      <c r="B239" s="15"/>
      <c r="C239" s="15"/>
      <c r="D239" s="20"/>
      <c r="E239" s="5"/>
      <c r="F239" s="10"/>
      <c r="G239" s="10"/>
      <c r="H239" s="3"/>
      <c r="J239" s="31"/>
      <c r="K239" s="31"/>
    </row>
    <row r="240" spans="1:11" s="4" customFormat="1" ht="19.5" customHeight="1">
      <c r="A240" s="15"/>
      <c r="B240" s="15"/>
      <c r="C240" s="15"/>
      <c r="D240" s="20"/>
      <c r="E240" s="5"/>
      <c r="F240" s="10"/>
      <c r="G240" s="10"/>
      <c r="H240" s="3"/>
      <c r="I240" s="17"/>
      <c r="J240" s="31"/>
      <c r="K240" s="31"/>
    </row>
    <row r="241" spans="1:11" s="4" customFormat="1" ht="19.5" customHeight="1">
      <c r="A241" s="15"/>
      <c r="B241" s="15"/>
      <c r="C241" s="15"/>
      <c r="D241" s="20"/>
      <c r="E241" s="5"/>
      <c r="F241" s="10"/>
      <c r="G241" s="10"/>
      <c r="H241" s="3"/>
      <c r="I241" s="17"/>
      <c r="J241" s="31"/>
      <c r="K241" s="31"/>
    </row>
    <row r="242" spans="1:11" s="4" customFormat="1" ht="19.5" customHeight="1">
      <c r="A242" s="15"/>
      <c r="B242" s="15"/>
      <c r="C242" s="15"/>
      <c r="D242" s="20"/>
      <c r="E242" s="5"/>
      <c r="F242" s="5"/>
      <c r="G242" s="5"/>
      <c r="H242" s="2"/>
      <c r="I242" s="17"/>
      <c r="J242" s="31"/>
      <c r="K242" s="31"/>
    </row>
    <row r="243" spans="1:11" s="4" customFormat="1" ht="19.5" customHeight="1">
      <c r="A243" s="15"/>
      <c r="B243" s="15"/>
      <c r="C243" s="15"/>
      <c r="D243" s="20"/>
      <c r="E243" s="5"/>
      <c r="F243" s="5"/>
      <c r="G243" s="5"/>
      <c r="H243" s="2"/>
      <c r="I243" s="17"/>
      <c r="J243" s="31"/>
      <c r="K243" s="31"/>
    </row>
    <row r="244" spans="1:11" s="4" customFormat="1" ht="19.5" customHeight="1">
      <c r="A244" s="15"/>
      <c r="B244" s="15"/>
      <c r="C244" s="15"/>
      <c r="D244" s="20"/>
      <c r="E244" s="5"/>
      <c r="F244" s="5"/>
      <c r="G244" s="5"/>
      <c r="H244" s="2"/>
      <c r="I244" s="17"/>
      <c r="J244" s="31"/>
      <c r="K244" s="31"/>
    </row>
    <row r="245" spans="1:11" s="4" customFormat="1" ht="19.5" customHeight="1">
      <c r="A245" s="15"/>
      <c r="B245" s="15"/>
      <c r="C245" s="15"/>
      <c r="D245" s="20"/>
      <c r="E245" s="5"/>
      <c r="F245" s="5"/>
      <c r="G245" s="5"/>
      <c r="H245" s="2"/>
      <c r="I245" s="17"/>
      <c r="J245" s="31"/>
      <c r="K245" s="31"/>
    </row>
    <row r="246" spans="1:11" s="4" customFormat="1" ht="19.5" customHeight="1">
      <c r="A246" s="15"/>
      <c r="B246" s="15"/>
      <c r="C246" s="15"/>
      <c r="D246" s="20"/>
      <c r="E246" s="5"/>
      <c r="F246" s="5"/>
      <c r="G246" s="5"/>
      <c r="H246" s="2"/>
      <c r="I246" s="17"/>
      <c r="J246" s="31"/>
      <c r="K246" s="31"/>
    </row>
    <row r="247" spans="1:11" s="4" customFormat="1" ht="19.5" customHeight="1">
      <c r="A247" s="15"/>
      <c r="B247" s="15"/>
      <c r="C247" s="15"/>
      <c r="D247" s="20"/>
      <c r="E247" s="5"/>
      <c r="F247" s="5"/>
      <c r="G247" s="5"/>
      <c r="H247" s="2"/>
      <c r="I247" s="17"/>
      <c r="J247" s="31"/>
      <c r="K247" s="31"/>
    </row>
    <row r="248" spans="1:11" s="4" customFormat="1" ht="19.5" customHeight="1">
      <c r="A248" s="15"/>
      <c r="B248" s="15"/>
      <c r="C248" s="15"/>
      <c r="D248" s="20"/>
      <c r="E248" s="5"/>
      <c r="F248" s="5"/>
      <c r="G248" s="5"/>
      <c r="H248" s="2"/>
      <c r="I248" s="17"/>
      <c r="J248" s="31"/>
      <c r="K248" s="31"/>
    </row>
    <row r="249" spans="1:11" s="4" customFormat="1" ht="19.5" customHeight="1">
      <c r="A249" s="15"/>
      <c r="B249" s="15"/>
      <c r="C249" s="15"/>
      <c r="D249" s="20"/>
      <c r="E249" s="5"/>
      <c r="F249" s="5"/>
      <c r="G249" s="5"/>
      <c r="H249" s="2"/>
      <c r="I249" s="17"/>
      <c r="J249" s="31"/>
      <c r="K249" s="31"/>
    </row>
    <row r="250" spans="1:11" s="4" customFormat="1" ht="19.5" customHeight="1">
      <c r="A250" s="15"/>
      <c r="B250" s="15"/>
      <c r="C250" s="15"/>
      <c r="D250" s="20"/>
      <c r="E250" s="5"/>
      <c r="F250" s="5"/>
      <c r="G250" s="5"/>
      <c r="H250" s="2"/>
      <c r="I250" s="17"/>
      <c r="J250" s="31"/>
      <c r="K250" s="31"/>
    </row>
    <row r="251" spans="1:11" s="4" customFormat="1" ht="19.5" customHeight="1">
      <c r="A251" s="15"/>
      <c r="B251" s="15"/>
      <c r="C251" s="15"/>
      <c r="D251" s="20"/>
      <c r="E251" s="5"/>
      <c r="F251" s="5"/>
      <c r="G251" s="5"/>
      <c r="H251" s="2"/>
      <c r="I251" s="17"/>
      <c r="J251" s="31"/>
      <c r="K251" s="31"/>
    </row>
    <row r="252" spans="1:11" s="4" customFormat="1" ht="19.5" customHeight="1">
      <c r="A252" s="15"/>
      <c r="B252" s="15"/>
      <c r="C252" s="15"/>
      <c r="D252" s="20"/>
      <c r="E252" s="5"/>
      <c r="F252" s="5"/>
      <c r="G252" s="5"/>
      <c r="H252" s="2"/>
      <c r="I252" s="17"/>
      <c r="J252" s="31"/>
      <c r="K252" s="31"/>
    </row>
    <row r="253" spans="1:11" s="4" customFormat="1" ht="19.5" customHeight="1">
      <c r="A253" s="15"/>
      <c r="B253" s="15"/>
      <c r="C253" s="15"/>
      <c r="D253" s="20"/>
      <c r="E253" s="5"/>
      <c r="F253" s="5"/>
      <c r="G253" s="5"/>
      <c r="H253" s="2"/>
      <c r="I253" s="17"/>
      <c r="J253" s="31"/>
      <c r="K253" s="31"/>
    </row>
    <row r="254" spans="1:11" s="4" customFormat="1" ht="19.5" customHeight="1">
      <c r="A254" s="15"/>
      <c r="B254" s="15"/>
      <c r="C254" s="15"/>
      <c r="D254" s="20"/>
      <c r="E254" s="5"/>
      <c r="F254" s="5"/>
      <c r="G254" s="5"/>
      <c r="H254" s="2"/>
      <c r="I254" s="17"/>
      <c r="J254" s="31"/>
      <c r="K254" s="31"/>
    </row>
    <row r="255" spans="1:11" s="4" customFormat="1" ht="19.5" customHeight="1">
      <c r="A255" s="15"/>
      <c r="B255" s="15"/>
      <c r="C255" s="15"/>
      <c r="D255" s="20"/>
      <c r="E255" s="5"/>
      <c r="F255" s="5"/>
      <c r="G255" s="5"/>
      <c r="H255" s="2"/>
      <c r="I255" s="17"/>
      <c r="J255" s="31"/>
      <c r="K255" s="31"/>
    </row>
    <row r="256" spans="1:11" s="4" customFormat="1" ht="19.5" customHeight="1">
      <c r="A256" s="15"/>
      <c r="B256" s="15"/>
      <c r="C256" s="15"/>
      <c r="D256" s="20"/>
      <c r="E256" s="5"/>
      <c r="F256" s="5"/>
      <c r="G256" s="5"/>
      <c r="H256" s="2"/>
      <c r="I256" s="17"/>
      <c r="J256" s="31"/>
      <c r="K256" s="31"/>
    </row>
    <row r="257" spans="1:11" s="4" customFormat="1" ht="19.5" customHeight="1">
      <c r="A257" s="15"/>
      <c r="B257" s="15"/>
      <c r="C257" s="15"/>
      <c r="D257" s="20"/>
      <c r="E257" s="5"/>
      <c r="F257" s="5"/>
      <c r="G257" s="5"/>
      <c r="H257" s="2"/>
      <c r="I257" s="17"/>
      <c r="J257" s="31"/>
      <c r="K257" s="31"/>
    </row>
    <row r="258" spans="1:11" s="4" customFormat="1" ht="19.5" customHeight="1">
      <c r="A258" s="15"/>
      <c r="B258" s="15"/>
      <c r="C258" s="15"/>
      <c r="D258" s="20"/>
      <c r="E258" s="5"/>
      <c r="F258" s="5"/>
      <c r="G258" s="5"/>
      <c r="H258" s="2"/>
      <c r="I258" s="17"/>
      <c r="J258" s="31"/>
      <c r="K258" s="31"/>
    </row>
    <row r="259" spans="1:11" s="4" customFormat="1" ht="19.5" customHeight="1">
      <c r="A259" s="15"/>
      <c r="B259" s="15"/>
      <c r="C259" s="15"/>
      <c r="D259" s="20"/>
      <c r="E259" s="5"/>
      <c r="F259" s="5"/>
      <c r="G259" s="5"/>
      <c r="H259" s="2"/>
      <c r="I259" s="17"/>
      <c r="J259" s="31"/>
      <c r="K259" s="31"/>
    </row>
    <row r="260" spans="1:11" s="4" customFormat="1" ht="19.5" customHeight="1">
      <c r="A260" s="15"/>
      <c r="B260" s="15"/>
      <c r="C260" s="15"/>
      <c r="D260" s="20"/>
      <c r="E260" s="5"/>
      <c r="F260" s="5"/>
      <c r="G260" s="5"/>
      <c r="H260" s="2"/>
      <c r="I260" s="17"/>
      <c r="J260" s="31"/>
      <c r="K260" s="31"/>
    </row>
    <row r="261" spans="1:11" s="4" customFormat="1" ht="19.5" customHeight="1">
      <c r="A261" s="15"/>
      <c r="B261" s="15"/>
      <c r="C261" s="15"/>
      <c r="D261" s="20"/>
      <c r="E261" s="5"/>
      <c r="F261" s="5"/>
      <c r="G261" s="5"/>
      <c r="H261" s="2"/>
      <c r="I261" s="17"/>
      <c r="J261" s="31"/>
      <c r="K261" s="31"/>
    </row>
    <row r="262" spans="1:11" s="4" customFormat="1" ht="19.5" customHeight="1">
      <c r="A262" s="15"/>
      <c r="B262" s="15"/>
      <c r="C262" s="15"/>
      <c r="D262" s="20"/>
      <c r="E262" s="5"/>
      <c r="F262" s="5"/>
      <c r="G262" s="5"/>
      <c r="H262" s="2"/>
      <c r="I262" s="17"/>
      <c r="J262" s="31"/>
      <c r="K262" s="31"/>
    </row>
    <row r="263" spans="1:11" s="4" customFormat="1" ht="19.5" customHeight="1">
      <c r="A263" s="15"/>
      <c r="B263" s="15"/>
      <c r="C263" s="15"/>
      <c r="D263" s="20"/>
      <c r="E263" s="5"/>
      <c r="F263" s="5"/>
      <c r="G263" s="5"/>
      <c r="H263" s="2"/>
      <c r="I263" s="17"/>
      <c r="J263" s="31"/>
      <c r="K263" s="31"/>
    </row>
    <row r="264" spans="1:11" s="4" customFormat="1" ht="19.5" customHeight="1">
      <c r="A264" s="15"/>
      <c r="B264" s="15"/>
      <c r="C264" s="15"/>
      <c r="D264" s="20"/>
      <c r="E264" s="5"/>
      <c r="F264" s="5"/>
      <c r="G264" s="5"/>
      <c r="H264" s="2"/>
      <c r="I264" s="17"/>
      <c r="J264" s="31"/>
      <c r="K264" s="31"/>
    </row>
    <row r="265" spans="1:11" s="4" customFormat="1" ht="19.5" customHeight="1">
      <c r="A265" s="15"/>
      <c r="B265" s="15"/>
      <c r="C265" s="15"/>
      <c r="D265" s="20"/>
      <c r="E265" s="5"/>
      <c r="F265" s="5"/>
      <c r="G265" s="5"/>
      <c r="H265" s="2"/>
      <c r="I265" s="17"/>
      <c r="J265" s="31"/>
      <c r="K265" s="31"/>
    </row>
    <row r="266" spans="1:11" s="4" customFormat="1" ht="19.5" customHeight="1">
      <c r="A266" s="15"/>
      <c r="B266" s="15"/>
      <c r="C266" s="15"/>
      <c r="D266" s="20"/>
      <c r="E266" s="5"/>
      <c r="F266" s="5"/>
      <c r="G266" s="5"/>
      <c r="H266" s="2"/>
      <c r="I266" s="17"/>
      <c r="J266" s="31"/>
      <c r="K266" s="31"/>
    </row>
    <row r="267" spans="1:11" s="4" customFormat="1" ht="19.5" customHeight="1">
      <c r="A267" s="15"/>
      <c r="B267" s="15"/>
      <c r="C267" s="15"/>
      <c r="D267" s="20"/>
      <c r="E267" s="5"/>
      <c r="F267" s="5"/>
      <c r="G267" s="5"/>
      <c r="H267" s="2"/>
      <c r="I267" s="17"/>
      <c r="J267" s="31"/>
      <c r="K267" s="31"/>
    </row>
    <row r="268" spans="1:11" s="4" customFormat="1" ht="19.5" customHeight="1">
      <c r="A268" s="15"/>
      <c r="B268" s="15"/>
      <c r="C268" s="15"/>
      <c r="D268" s="20"/>
      <c r="E268" s="5"/>
      <c r="F268" s="5"/>
      <c r="G268" s="5"/>
      <c r="H268" s="2"/>
      <c r="I268" s="17"/>
      <c r="J268" s="31"/>
      <c r="K268" s="31"/>
    </row>
    <row r="269" spans="1:11" s="4" customFormat="1" ht="19.5" customHeight="1">
      <c r="A269" s="15"/>
      <c r="B269" s="15"/>
      <c r="C269" s="15"/>
      <c r="D269" s="20"/>
      <c r="E269" s="5"/>
      <c r="F269" s="5"/>
      <c r="G269" s="5"/>
      <c r="H269" s="2"/>
      <c r="I269" s="17"/>
      <c r="J269" s="31"/>
      <c r="K269" s="31"/>
    </row>
    <row r="270" spans="1:11" s="4" customFormat="1" ht="19.5" customHeight="1">
      <c r="A270" s="15"/>
      <c r="B270" s="15"/>
      <c r="C270" s="15"/>
      <c r="D270" s="20"/>
      <c r="E270" s="5"/>
      <c r="F270" s="5"/>
      <c r="G270" s="5"/>
      <c r="H270" s="2"/>
      <c r="I270" s="17"/>
      <c r="J270" s="31"/>
      <c r="K270" s="31"/>
    </row>
    <row r="271" spans="1:11" s="4" customFormat="1" ht="19.5" customHeight="1">
      <c r="A271" s="15"/>
      <c r="B271" s="15"/>
      <c r="C271" s="15"/>
      <c r="D271" s="20"/>
      <c r="E271" s="5"/>
      <c r="F271" s="5"/>
      <c r="G271" s="5"/>
      <c r="H271" s="2"/>
      <c r="I271" s="17"/>
      <c r="J271" s="31"/>
      <c r="K271" s="31"/>
    </row>
    <row r="272" spans="1:11" s="4" customFormat="1" ht="19.5" customHeight="1">
      <c r="A272" s="15"/>
      <c r="B272" s="15"/>
      <c r="C272" s="15"/>
      <c r="D272" s="20"/>
      <c r="E272" s="5"/>
      <c r="F272" s="5"/>
      <c r="G272" s="5"/>
      <c r="H272" s="2"/>
      <c r="I272" s="17"/>
      <c r="J272" s="31"/>
      <c r="K272" s="31"/>
    </row>
    <row r="273" spans="1:11" s="4" customFormat="1" ht="19.5" customHeight="1">
      <c r="A273" s="15"/>
      <c r="B273" s="15"/>
      <c r="C273" s="15"/>
      <c r="D273" s="20"/>
      <c r="E273" s="5"/>
      <c r="F273" s="5"/>
      <c r="G273" s="5"/>
      <c r="H273" s="2"/>
      <c r="I273" s="17"/>
      <c r="J273" s="31"/>
      <c r="K273" s="31"/>
    </row>
    <row r="274" spans="1:11" s="4" customFormat="1" ht="19.5" customHeight="1">
      <c r="A274" s="15"/>
      <c r="B274" s="15"/>
      <c r="C274" s="15"/>
      <c r="D274" s="20"/>
      <c r="E274" s="5"/>
      <c r="F274" s="5"/>
      <c r="G274" s="5"/>
      <c r="H274" s="2"/>
      <c r="I274" s="17"/>
      <c r="J274" s="31"/>
      <c r="K274" s="31"/>
    </row>
    <row r="275" spans="1:11" s="4" customFormat="1" ht="19.5" customHeight="1">
      <c r="A275" s="15"/>
      <c r="B275" s="15"/>
      <c r="C275" s="15"/>
      <c r="D275" s="20"/>
      <c r="E275" s="5"/>
      <c r="F275" s="5"/>
      <c r="G275" s="5"/>
      <c r="H275" s="2"/>
      <c r="I275" s="17"/>
      <c r="J275" s="31"/>
      <c r="K275" s="31"/>
    </row>
    <row r="276" spans="1:11" s="4" customFormat="1" ht="19.5" customHeight="1">
      <c r="A276" s="15"/>
      <c r="B276" s="15"/>
      <c r="C276" s="15"/>
      <c r="D276" s="20"/>
      <c r="E276" s="5"/>
      <c r="F276" s="5"/>
      <c r="G276" s="5"/>
      <c r="H276" s="2"/>
      <c r="I276" s="17"/>
      <c r="J276" s="31"/>
      <c r="K276" s="31"/>
    </row>
    <row r="277" spans="1:11" s="4" customFormat="1" ht="19.5" customHeight="1">
      <c r="A277" s="15"/>
      <c r="B277" s="15"/>
      <c r="C277" s="15"/>
      <c r="D277" s="20"/>
      <c r="E277" s="5"/>
      <c r="F277" s="5"/>
      <c r="G277" s="5"/>
      <c r="H277" s="2"/>
      <c r="I277" s="17"/>
      <c r="J277" s="31"/>
      <c r="K277" s="31"/>
    </row>
    <row r="278" spans="1:11" s="4" customFormat="1" ht="19.5" customHeight="1">
      <c r="A278" s="15"/>
      <c r="B278" s="15"/>
      <c r="C278" s="15"/>
      <c r="D278" s="20"/>
      <c r="E278" s="5"/>
      <c r="F278" s="5"/>
      <c r="G278" s="5"/>
      <c r="H278" s="2"/>
      <c r="I278" s="17"/>
      <c r="J278" s="31"/>
      <c r="K278" s="31"/>
    </row>
    <row r="279" spans="1:11" s="4" customFormat="1" ht="19.5" customHeight="1">
      <c r="A279" s="15"/>
      <c r="B279" s="15"/>
      <c r="C279" s="15"/>
      <c r="D279" s="20"/>
      <c r="E279" s="5"/>
      <c r="F279" s="5"/>
      <c r="G279" s="5"/>
      <c r="H279" s="2"/>
      <c r="I279" s="17"/>
      <c r="J279" s="31"/>
      <c r="K279" s="31"/>
    </row>
    <row r="280" spans="1:11" s="4" customFormat="1" ht="19.5" customHeight="1">
      <c r="A280" s="15"/>
      <c r="B280" s="15"/>
      <c r="C280" s="15"/>
      <c r="D280" s="20"/>
      <c r="E280" s="5"/>
      <c r="F280" s="5"/>
      <c r="G280" s="5"/>
      <c r="H280" s="2"/>
      <c r="I280" s="17"/>
      <c r="J280" s="31"/>
      <c r="K280" s="31"/>
    </row>
    <row r="281" spans="1:11" s="4" customFormat="1" ht="19.5" customHeight="1">
      <c r="A281" s="15"/>
      <c r="B281" s="15"/>
      <c r="C281" s="15"/>
      <c r="D281" s="20"/>
      <c r="E281" s="5"/>
      <c r="F281" s="5"/>
      <c r="G281" s="5"/>
      <c r="H281" s="2"/>
      <c r="I281" s="17"/>
      <c r="J281" s="31"/>
      <c r="K281" s="31"/>
    </row>
    <row r="282" spans="1:11" s="4" customFormat="1" ht="19.5" customHeight="1">
      <c r="A282" s="15"/>
      <c r="B282" s="15"/>
      <c r="C282" s="15"/>
      <c r="D282" s="20"/>
      <c r="E282" s="5"/>
      <c r="F282" s="5"/>
      <c r="G282" s="5"/>
      <c r="H282" s="2"/>
      <c r="I282" s="17"/>
      <c r="J282" s="31"/>
      <c r="K282" s="31"/>
    </row>
    <row r="283" spans="1:11" s="4" customFormat="1" ht="19.5" customHeight="1">
      <c r="A283" s="15"/>
      <c r="B283" s="15"/>
      <c r="C283" s="15"/>
      <c r="D283" s="20"/>
      <c r="E283" s="5"/>
      <c r="F283" s="5"/>
      <c r="G283" s="5"/>
      <c r="H283" s="2"/>
      <c r="I283" s="17"/>
      <c r="J283" s="31"/>
      <c r="K283" s="31"/>
    </row>
    <row r="284" spans="1:11" s="4" customFormat="1" ht="19.5" customHeight="1">
      <c r="A284" s="15"/>
      <c r="B284" s="15"/>
      <c r="C284" s="15"/>
      <c r="D284" s="20"/>
      <c r="E284" s="5"/>
      <c r="F284" s="5"/>
      <c r="G284" s="5"/>
      <c r="H284" s="2"/>
      <c r="I284" s="17"/>
      <c r="J284" s="31"/>
      <c r="K284" s="31"/>
    </row>
    <row r="285" spans="1:11" s="4" customFormat="1" ht="19.5" customHeight="1">
      <c r="A285" s="15"/>
      <c r="B285" s="15"/>
      <c r="C285" s="15"/>
      <c r="D285" s="20"/>
      <c r="E285" s="5"/>
      <c r="F285" s="5"/>
      <c r="G285" s="5"/>
      <c r="H285" s="2"/>
      <c r="I285" s="17"/>
      <c r="J285" s="31"/>
      <c r="K285" s="31"/>
    </row>
    <row r="286" spans="1:11" s="4" customFormat="1" ht="19.5" customHeight="1">
      <c r="A286" s="15"/>
      <c r="B286" s="15"/>
      <c r="C286" s="15"/>
      <c r="D286" s="20"/>
      <c r="E286" s="5"/>
      <c r="F286" s="5"/>
      <c r="G286" s="5"/>
      <c r="H286" s="2"/>
      <c r="I286" s="17"/>
      <c r="J286" s="31"/>
      <c r="K286" s="31"/>
    </row>
    <row r="287" spans="1:11" s="4" customFormat="1" ht="19.5" customHeight="1">
      <c r="A287" s="15"/>
      <c r="B287" s="15"/>
      <c r="C287" s="15"/>
      <c r="D287" s="20"/>
      <c r="E287" s="5"/>
      <c r="F287" s="5"/>
      <c r="G287" s="5"/>
      <c r="H287" s="2"/>
      <c r="I287" s="17"/>
      <c r="J287" s="31"/>
      <c r="K287" s="31"/>
    </row>
    <row r="288" spans="1:11" s="4" customFormat="1" ht="19.5" customHeight="1">
      <c r="A288" s="15"/>
      <c r="B288" s="15"/>
      <c r="C288" s="15"/>
      <c r="D288" s="20"/>
      <c r="E288" s="5"/>
      <c r="F288" s="5"/>
      <c r="G288" s="5"/>
      <c r="H288" s="2"/>
      <c r="I288" s="17"/>
      <c r="J288" s="31"/>
      <c r="K288" s="31"/>
    </row>
    <row r="289" spans="1:11" s="4" customFormat="1" ht="19.5" customHeight="1">
      <c r="A289" s="15"/>
      <c r="B289" s="15"/>
      <c r="C289" s="15"/>
      <c r="D289" s="20"/>
      <c r="E289" s="5"/>
      <c r="F289" s="5"/>
      <c r="G289" s="5"/>
      <c r="H289" s="2"/>
      <c r="I289" s="17"/>
      <c r="J289" s="31"/>
      <c r="K289" s="31"/>
    </row>
    <row r="290" spans="1:11" s="4" customFormat="1" ht="19.5" customHeight="1">
      <c r="A290" s="15"/>
      <c r="B290" s="15"/>
      <c r="C290" s="15"/>
      <c r="D290" s="20"/>
      <c r="E290" s="5"/>
      <c r="F290" s="5"/>
      <c r="G290" s="5"/>
      <c r="H290" s="2"/>
      <c r="I290" s="17"/>
      <c r="J290" s="31"/>
      <c r="K290" s="31"/>
    </row>
    <row r="291" spans="1:11" s="4" customFormat="1" ht="19.5" customHeight="1">
      <c r="A291" s="15"/>
      <c r="B291" s="15"/>
      <c r="C291" s="15"/>
      <c r="D291" s="20"/>
      <c r="E291" s="5"/>
      <c r="F291" s="5"/>
      <c r="G291" s="5"/>
      <c r="H291" s="2"/>
      <c r="I291" s="17"/>
      <c r="J291" s="31"/>
      <c r="K291" s="31"/>
    </row>
    <row r="292" spans="1:11" s="4" customFormat="1" ht="19.5" customHeight="1">
      <c r="A292" s="15"/>
      <c r="B292" s="15"/>
      <c r="C292" s="15"/>
      <c r="D292" s="20"/>
      <c r="E292" s="5"/>
      <c r="F292" s="5"/>
      <c r="G292" s="5"/>
      <c r="H292" s="2"/>
      <c r="I292" s="17"/>
      <c r="J292" s="31"/>
      <c r="K292" s="31"/>
    </row>
    <row r="293" spans="1:11" s="17" customFormat="1" ht="19.5" customHeight="1">
      <c r="A293" s="15"/>
      <c r="B293" s="15"/>
      <c r="C293" s="15"/>
      <c r="D293" s="20"/>
      <c r="E293" s="5"/>
      <c r="F293" s="5"/>
      <c r="G293" s="5"/>
      <c r="H293" s="2"/>
      <c r="J293" s="33"/>
      <c r="K293" s="33"/>
    </row>
    <row r="294" spans="1:11" s="17" customFormat="1" ht="19.5" customHeight="1">
      <c r="A294" s="15"/>
      <c r="B294" s="15"/>
      <c r="C294" s="15"/>
      <c r="D294" s="20"/>
      <c r="E294" s="5"/>
      <c r="F294" s="5"/>
      <c r="G294" s="5"/>
      <c r="H294" s="2"/>
      <c r="J294" s="33"/>
      <c r="K294" s="33"/>
    </row>
    <row r="295" spans="1:11" s="17" customFormat="1" ht="19.5" customHeight="1">
      <c r="A295" s="15"/>
      <c r="B295" s="15"/>
      <c r="C295" s="15"/>
      <c r="D295" s="20"/>
      <c r="E295" s="5"/>
      <c r="F295" s="5"/>
      <c r="G295" s="5"/>
      <c r="H295" s="2"/>
      <c r="J295" s="33"/>
      <c r="K295" s="33"/>
    </row>
    <row r="296" spans="1:11" s="17" customFormat="1" ht="19.5" customHeight="1">
      <c r="A296" s="15"/>
      <c r="B296" s="15"/>
      <c r="C296" s="15"/>
      <c r="D296" s="20"/>
      <c r="E296" s="5"/>
      <c r="F296" s="5"/>
      <c r="G296" s="5"/>
      <c r="H296" s="2"/>
      <c r="J296" s="33"/>
      <c r="K296" s="33"/>
    </row>
    <row r="297" spans="1:11" s="17" customFormat="1" ht="19.5" customHeight="1">
      <c r="A297" s="15"/>
      <c r="B297" s="15"/>
      <c r="C297" s="15"/>
      <c r="D297" s="20"/>
      <c r="E297" s="5"/>
      <c r="F297" s="5"/>
      <c r="G297" s="5"/>
      <c r="H297" s="2"/>
      <c r="J297" s="33"/>
      <c r="K297" s="33"/>
    </row>
    <row r="298" spans="1:11" s="17" customFormat="1" ht="19.5" customHeight="1">
      <c r="A298" s="15"/>
      <c r="B298" s="15"/>
      <c r="C298" s="15"/>
      <c r="D298" s="20"/>
      <c r="E298" s="5"/>
      <c r="F298" s="5"/>
      <c r="G298" s="5"/>
      <c r="H298" s="2"/>
      <c r="J298" s="33"/>
      <c r="K298" s="33"/>
    </row>
    <row r="299" spans="1:11" s="17" customFormat="1" ht="19.5" customHeight="1">
      <c r="A299" s="15"/>
      <c r="B299" s="15"/>
      <c r="C299" s="15"/>
      <c r="D299" s="20"/>
      <c r="E299" s="5"/>
      <c r="F299" s="5"/>
      <c r="G299" s="5"/>
      <c r="H299" s="2"/>
      <c r="J299" s="33"/>
      <c r="K299" s="33"/>
    </row>
    <row r="300" spans="1:11" s="17" customFormat="1" ht="19.5" customHeight="1">
      <c r="A300" s="15"/>
      <c r="B300" s="15"/>
      <c r="C300" s="15"/>
      <c r="D300" s="20"/>
      <c r="E300" s="5"/>
      <c r="F300" s="5"/>
      <c r="G300" s="5"/>
      <c r="H300" s="2"/>
      <c r="J300" s="33"/>
      <c r="K300" s="33"/>
    </row>
    <row r="301" spans="1:11" s="17" customFormat="1" ht="19.5" customHeight="1">
      <c r="A301" s="15"/>
      <c r="B301" s="15"/>
      <c r="C301" s="15"/>
      <c r="D301" s="20"/>
      <c r="E301" s="5"/>
      <c r="F301" s="5"/>
      <c r="G301" s="5"/>
      <c r="H301" s="2"/>
      <c r="J301" s="33"/>
      <c r="K301" s="33"/>
    </row>
    <row r="302" spans="1:11" s="17" customFormat="1" ht="19.5" customHeight="1">
      <c r="A302" s="15"/>
      <c r="B302" s="15"/>
      <c r="C302" s="15"/>
      <c r="D302" s="20"/>
      <c r="E302" s="5"/>
      <c r="F302" s="5"/>
      <c r="G302" s="5"/>
      <c r="H302" s="2"/>
      <c r="J302" s="33"/>
      <c r="K302" s="33"/>
    </row>
    <row r="303" spans="1:11" s="17" customFormat="1" ht="19.5" customHeight="1">
      <c r="A303" s="15"/>
      <c r="B303" s="15"/>
      <c r="C303" s="15"/>
      <c r="D303" s="20"/>
      <c r="E303" s="5"/>
      <c r="F303" s="5"/>
      <c r="G303" s="5"/>
      <c r="H303" s="2"/>
      <c r="J303" s="33"/>
      <c r="K303" s="33"/>
    </row>
    <row r="304" spans="1:11" s="17" customFormat="1" ht="19.5" customHeight="1">
      <c r="A304" s="15"/>
      <c r="B304" s="15"/>
      <c r="C304" s="15"/>
      <c r="D304" s="20"/>
      <c r="E304" s="5"/>
      <c r="F304" s="5"/>
      <c r="G304" s="5"/>
      <c r="H304" s="2"/>
      <c r="J304" s="33"/>
      <c r="K304" s="33"/>
    </row>
    <row r="305" spans="1:11" s="17" customFormat="1" ht="19.5" customHeight="1">
      <c r="A305" s="15"/>
      <c r="B305" s="15"/>
      <c r="C305" s="15"/>
      <c r="D305" s="20"/>
      <c r="E305" s="5"/>
      <c r="F305" s="5"/>
      <c r="G305" s="5"/>
      <c r="H305" s="2"/>
      <c r="J305" s="33"/>
      <c r="K305" s="33"/>
    </row>
    <row r="306" spans="1:11" s="17" customFormat="1" ht="19.5" customHeight="1">
      <c r="A306" s="15"/>
      <c r="B306" s="15"/>
      <c r="C306" s="15"/>
      <c r="D306" s="20"/>
      <c r="E306" s="5"/>
      <c r="F306" s="5"/>
      <c r="G306" s="5"/>
      <c r="H306" s="2"/>
      <c r="J306" s="33"/>
      <c r="K306" s="33"/>
    </row>
    <row r="307" spans="1:11" s="17" customFormat="1" ht="19.5" customHeight="1">
      <c r="A307" s="15"/>
      <c r="B307" s="15"/>
      <c r="C307" s="15"/>
      <c r="D307" s="20"/>
      <c r="E307" s="5"/>
      <c r="F307" s="5"/>
      <c r="G307" s="5"/>
      <c r="H307" s="2"/>
      <c r="J307" s="33"/>
      <c r="K307" s="33"/>
    </row>
    <row r="308" spans="1:11" s="17" customFormat="1" ht="19.5" customHeight="1">
      <c r="A308" s="15"/>
      <c r="B308" s="15"/>
      <c r="C308" s="15"/>
      <c r="D308" s="20"/>
      <c r="E308" s="5"/>
      <c r="F308" s="5"/>
      <c r="G308" s="5"/>
      <c r="H308" s="2"/>
      <c r="J308" s="33"/>
      <c r="K308" s="33"/>
    </row>
    <row r="309" spans="1:11" s="17" customFormat="1" ht="19.5" customHeight="1">
      <c r="A309" s="15"/>
      <c r="B309" s="15"/>
      <c r="C309" s="15"/>
      <c r="D309" s="20"/>
      <c r="E309" s="5"/>
      <c r="F309" s="5"/>
      <c r="G309" s="5"/>
      <c r="H309" s="2"/>
      <c r="J309" s="33"/>
      <c r="K309" s="33"/>
    </row>
    <row r="310" spans="1:11" s="17" customFormat="1" ht="19.5" customHeight="1">
      <c r="A310" s="15"/>
      <c r="B310" s="15"/>
      <c r="C310" s="15"/>
      <c r="D310" s="20"/>
      <c r="E310" s="5"/>
      <c r="F310" s="5"/>
      <c r="G310" s="5"/>
      <c r="H310" s="2"/>
      <c r="J310" s="33"/>
      <c r="K310" s="33"/>
    </row>
    <row r="311" spans="1:11" s="17" customFormat="1" ht="19.5" customHeight="1">
      <c r="A311" s="15"/>
      <c r="B311" s="15"/>
      <c r="C311" s="15"/>
      <c r="D311" s="20"/>
      <c r="E311" s="5"/>
      <c r="F311" s="5"/>
      <c r="G311" s="5"/>
      <c r="H311" s="2"/>
      <c r="J311" s="33"/>
      <c r="K311" s="33"/>
    </row>
    <row r="312" spans="1:11" s="17" customFormat="1" ht="19.5" customHeight="1">
      <c r="A312" s="15"/>
      <c r="B312" s="15"/>
      <c r="C312" s="15"/>
      <c r="D312" s="20"/>
      <c r="E312" s="5"/>
      <c r="F312" s="5"/>
      <c r="G312" s="5"/>
      <c r="H312" s="2"/>
      <c r="J312" s="33"/>
      <c r="K312" s="33"/>
    </row>
    <row r="313" spans="1:11" s="17" customFormat="1" ht="19.5" customHeight="1">
      <c r="A313" s="15"/>
      <c r="B313" s="15"/>
      <c r="C313" s="15"/>
      <c r="D313" s="20"/>
      <c r="E313" s="5"/>
      <c r="F313" s="5"/>
      <c r="G313" s="5"/>
      <c r="H313" s="2"/>
      <c r="J313" s="33"/>
      <c r="K313" s="33"/>
    </row>
    <row r="314" spans="1:11" s="17" customFormat="1" ht="19.5" customHeight="1">
      <c r="A314" s="13"/>
      <c r="B314" s="13"/>
      <c r="C314" s="13"/>
      <c r="D314" s="20"/>
      <c r="E314" s="9"/>
      <c r="F314" s="9"/>
      <c r="G314" s="9"/>
      <c r="H314" s="2"/>
      <c r="J314" s="33"/>
      <c r="K314" s="33"/>
    </row>
    <row r="315" spans="1:11" s="17" customFormat="1" ht="19.5" customHeight="1">
      <c r="A315" s="13"/>
      <c r="B315" s="13"/>
      <c r="C315" s="13"/>
      <c r="D315" s="20"/>
      <c r="E315" s="9"/>
      <c r="F315" s="9"/>
      <c r="G315" s="9"/>
      <c r="H315" s="2"/>
      <c r="J315" s="33"/>
      <c r="K315" s="33"/>
    </row>
    <row r="316" spans="1:11" s="17" customFormat="1" ht="19.5" customHeight="1">
      <c r="A316" s="13"/>
      <c r="B316" s="13"/>
      <c r="C316" s="13"/>
      <c r="D316" s="20"/>
      <c r="E316" s="9"/>
      <c r="F316" s="9"/>
      <c r="G316" s="9"/>
      <c r="H316" s="2"/>
      <c r="J316" s="33"/>
      <c r="K316" s="33"/>
    </row>
    <row r="317" spans="1:11" s="17" customFormat="1" ht="19.5" customHeight="1">
      <c r="A317" s="13"/>
      <c r="B317" s="13"/>
      <c r="C317" s="13"/>
      <c r="D317" s="20"/>
      <c r="E317" s="9"/>
      <c r="F317" s="9"/>
      <c r="G317" s="9"/>
      <c r="H317" s="2"/>
      <c r="J317" s="33"/>
      <c r="K317" s="33"/>
    </row>
    <row r="318" spans="1:11" s="17" customFormat="1" ht="19.5" customHeight="1">
      <c r="A318" s="13"/>
      <c r="B318" s="13"/>
      <c r="C318" s="13"/>
      <c r="D318" s="20"/>
      <c r="E318" s="9"/>
      <c r="F318" s="9"/>
      <c r="G318" s="9"/>
      <c r="H318" s="2"/>
      <c r="J318" s="33"/>
      <c r="K318" s="33"/>
    </row>
    <row r="319" spans="1:11" s="17" customFormat="1" ht="19.5" customHeight="1">
      <c r="A319" s="13"/>
      <c r="B319" s="13"/>
      <c r="C319" s="13"/>
      <c r="D319" s="20"/>
      <c r="E319" s="9"/>
      <c r="F319" s="9"/>
      <c r="G319" s="9"/>
      <c r="H319" s="2"/>
      <c r="J319" s="33"/>
      <c r="K319" s="33"/>
    </row>
    <row r="320" spans="1:11" s="17" customFormat="1" ht="19.5" customHeight="1">
      <c r="A320" s="13"/>
      <c r="B320" s="13"/>
      <c r="C320" s="13"/>
      <c r="D320" s="20"/>
      <c r="E320" s="9"/>
      <c r="F320" s="9"/>
      <c r="G320" s="9"/>
      <c r="H320" s="2"/>
      <c r="J320" s="33"/>
      <c r="K320" s="33"/>
    </row>
    <row r="321" spans="1:11" s="17" customFormat="1" ht="19.5" customHeight="1">
      <c r="A321" s="13"/>
      <c r="B321" s="13"/>
      <c r="C321" s="13"/>
      <c r="D321" s="20"/>
      <c r="E321" s="9"/>
      <c r="F321" s="9"/>
      <c r="G321" s="9"/>
      <c r="H321" s="2"/>
      <c r="I321" s="12"/>
      <c r="J321" s="33"/>
      <c r="K321" s="33"/>
    </row>
    <row r="322" spans="1:11" s="17" customFormat="1" ht="19.5" customHeight="1">
      <c r="A322" s="13"/>
      <c r="B322" s="13"/>
      <c r="C322" s="13"/>
      <c r="D322" s="20"/>
      <c r="E322" s="9"/>
      <c r="F322" s="9"/>
      <c r="G322" s="9"/>
      <c r="H322" s="2"/>
      <c r="I322" s="12"/>
      <c r="J322" s="33"/>
      <c r="K322" s="33"/>
    </row>
    <row r="323" spans="1:11" s="17" customFormat="1" ht="19.5" customHeight="1">
      <c r="A323" s="13"/>
      <c r="B323" s="13"/>
      <c r="C323" s="13"/>
      <c r="D323" s="20"/>
      <c r="E323" s="9"/>
      <c r="F323" s="9"/>
      <c r="G323" s="9"/>
      <c r="H323" s="2"/>
      <c r="I323" s="12"/>
      <c r="J323" s="33"/>
      <c r="K323" s="33"/>
    </row>
    <row r="324" spans="1:11" s="17" customFormat="1" ht="19.5" customHeight="1">
      <c r="A324" s="13"/>
      <c r="B324" s="13"/>
      <c r="C324" s="13"/>
      <c r="D324" s="20"/>
      <c r="E324" s="9"/>
      <c r="F324" s="9"/>
      <c r="G324" s="9"/>
      <c r="H324" s="2"/>
      <c r="I324" s="12"/>
      <c r="J324" s="33"/>
      <c r="K324" s="33"/>
    </row>
    <row r="325" spans="1:11" s="17" customFormat="1" ht="19.5" customHeight="1">
      <c r="A325" s="13"/>
      <c r="B325" s="13"/>
      <c r="C325" s="13"/>
      <c r="D325" s="20"/>
      <c r="E325" s="9"/>
      <c r="F325" s="9"/>
      <c r="G325" s="9"/>
      <c r="H325" s="2"/>
      <c r="I325" s="12"/>
      <c r="J325" s="33"/>
      <c r="K325" s="33"/>
    </row>
    <row r="326" spans="1:11" s="17" customFormat="1" ht="19.5" customHeight="1">
      <c r="A326" s="13"/>
      <c r="B326" s="13"/>
      <c r="C326" s="13"/>
      <c r="D326" s="20"/>
      <c r="E326" s="9"/>
      <c r="F326" s="9"/>
      <c r="G326" s="9"/>
      <c r="H326" s="2"/>
      <c r="I326" s="12"/>
      <c r="J326" s="33"/>
      <c r="K326" s="33"/>
    </row>
    <row r="327" spans="1:11" s="17" customFormat="1" ht="19.5" customHeight="1">
      <c r="A327" s="13"/>
      <c r="B327" s="13"/>
      <c r="C327" s="13"/>
      <c r="D327" s="20"/>
      <c r="E327" s="9"/>
      <c r="F327" s="9"/>
      <c r="G327" s="9"/>
      <c r="H327" s="2"/>
      <c r="I327" s="12"/>
      <c r="J327" s="33"/>
      <c r="K327" s="33"/>
    </row>
    <row r="328" spans="1:11" s="17" customFormat="1" ht="19.5" customHeight="1">
      <c r="A328" s="13"/>
      <c r="B328" s="13"/>
      <c r="C328" s="13"/>
      <c r="D328" s="20"/>
      <c r="E328" s="9"/>
      <c r="F328" s="9"/>
      <c r="G328" s="9"/>
      <c r="H328" s="2"/>
      <c r="I328" s="12"/>
      <c r="J328" s="33"/>
      <c r="K328" s="33"/>
    </row>
    <row r="329" spans="1:11" s="17" customFormat="1" ht="19.5" customHeight="1">
      <c r="A329" s="13"/>
      <c r="B329" s="13"/>
      <c r="C329" s="13"/>
      <c r="D329" s="20"/>
      <c r="E329" s="9"/>
      <c r="F329" s="9"/>
      <c r="G329" s="9"/>
      <c r="H329" s="2"/>
      <c r="I329" s="12"/>
      <c r="J329" s="33"/>
      <c r="K329" s="33"/>
    </row>
    <row r="330" spans="1:11" s="17" customFormat="1" ht="19.5" customHeight="1">
      <c r="A330" s="13"/>
      <c r="B330" s="13"/>
      <c r="C330" s="13"/>
      <c r="D330" s="20"/>
      <c r="E330" s="9"/>
      <c r="F330" s="9"/>
      <c r="G330" s="9"/>
      <c r="H330" s="2"/>
      <c r="I330" s="12"/>
      <c r="J330" s="33"/>
      <c r="K330" s="33"/>
    </row>
    <row r="331" spans="1:11" s="17" customFormat="1" ht="19.5" customHeight="1">
      <c r="A331" s="13"/>
      <c r="B331" s="13"/>
      <c r="C331" s="13"/>
      <c r="D331" s="20"/>
      <c r="E331" s="9"/>
      <c r="F331" s="9"/>
      <c r="G331" s="9"/>
      <c r="H331" s="2"/>
      <c r="I331" s="12"/>
      <c r="J331" s="33"/>
      <c r="K331" s="33"/>
    </row>
    <row r="332" spans="1:11" s="17" customFormat="1" ht="19.5" customHeight="1">
      <c r="A332" s="13"/>
      <c r="B332" s="13"/>
      <c r="C332" s="13"/>
      <c r="D332" s="20"/>
      <c r="E332" s="9"/>
      <c r="F332" s="9"/>
      <c r="G332" s="9"/>
      <c r="H332" s="2"/>
      <c r="I332" s="12"/>
      <c r="J332" s="33"/>
      <c r="K332" s="33"/>
    </row>
    <row r="333" spans="1:11" s="17" customFormat="1" ht="19.5" customHeight="1">
      <c r="A333" s="13"/>
      <c r="B333" s="13"/>
      <c r="C333" s="13"/>
      <c r="D333" s="20"/>
      <c r="E333" s="9"/>
      <c r="F333" s="9"/>
      <c r="G333" s="9"/>
      <c r="H333" s="2"/>
      <c r="I333" s="12"/>
      <c r="J333" s="33"/>
      <c r="K333" s="33"/>
    </row>
    <row r="334" spans="1:11" s="17" customFormat="1" ht="19.5" customHeight="1">
      <c r="A334" s="13"/>
      <c r="B334" s="13"/>
      <c r="C334" s="13"/>
      <c r="D334" s="20"/>
      <c r="E334" s="9"/>
      <c r="F334" s="9"/>
      <c r="G334" s="9"/>
      <c r="H334" s="2"/>
      <c r="I334" s="12"/>
      <c r="J334" s="33"/>
      <c r="K334" s="33"/>
    </row>
    <row r="335" spans="1:11" s="17" customFormat="1" ht="19.5" customHeight="1">
      <c r="A335" s="13"/>
      <c r="B335" s="13"/>
      <c r="C335" s="13"/>
      <c r="D335" s="20"/>
      <c r="E335" s="9"/>
      <c r="F335" s="9"/>
      <c r="G335" s="9"/>
      <c r="H335" s="2"/>
      <c r="I335" s="12"/>
      <c r="J335" s="33"/>
      <c r="K335" s="33"/>
    </row>
    <row r="336" spans="1:11" s="17" customFormat="1" ht="19.5" customHeight="1">
      <c r="A336" s="13"/>
      <c r="B336" s="13"/>
      <c r="C336" s="13"/>
      <c r="D336" s="20"/>
      <c r="E336" s="9"/>
      <c r="F336" s="9"/>
      <c r="G336" s="9"/>
      <c r="H336" s="2"/>
      <c r="I336" s="12"/>
      <c r="J336" s="33"/>
      <c r="K336" s="33"/>
    </row>
    <row r="337" spans="1:11" s="17" customFormat="1" ht="19.5" customHeight="1">
      <c r="A337" s="13"/>
      <c r="B337" s="13"/>
      <c r="C337" s="13"/>
      <c r="D337" s="20"/>
      <c r="E337" s="9"/>
      <c r="F337" s="9"/>
      <c r="G337" s="9"/>
      <c r="H337" s="2"/>
      <c r="I337" s="12"/>
      <c r="J337" s="33"/>
      <c r="K337" s="33"/>
    </row>
    <row r="338" spans="1:11" s="17" customFormat="1" ht="19.5" customHeight="1">
      <c r="A338" s="13"/>
      <c r="B338" s="13"/>
      <c r="C338" s="13"/>
      <c r="D338" s="20"/>
      <c r="E338" s="9"/>
      <c r="F338" s="9"/>
      <c r="G338" s="9"/>
      <c r="H338" s="2"/>
      <c r="I338" s="12"/>
      <c r="J338" s="33"/>
      <c r="K338" s="33"/>
    </row>
    <row r="339" spans="1:11" s="17" customFormat="1" ht="19.5" customHeight="1">
      <c r="A339" s="13"/>
      <c r="B339" s="13"/>
      <c r="C339" s="13"/>
      <c r="D339" s="20"/>
      <c r="E339" s="9"/>
      <c r="F339" s="9"/>
      <c r="G339" s="9"/>
      <c r="H339" s="2"/>
      <c r="I339" s="12"/>
      <c r="J339" s="33"/>
      <c r="K339" s="33"/>
    </row>
    <row r="340" spans="1:11" s="17" customFormat="1" ht="19.5" customHeight="1">
      <c r="A340" s="13"/>
      <c r="B340" s="13"/>
      <c r="C340" s="13"/>
      <c r="D340" s="20"/>
      <c r="E340" s="9"/>
      <c r="F340" s="9"/>
      <c r="G340" s="9"/>
      <c r="H340" s="2"/>
      <c r="I340" s="12"/>
      <c r="J340" s="33"/>
      <c r="K340" s="33"/>
    </row>
    <row r="341" spans="1:11" s="17" customFormat="1" ht="19.5" customHeight="1">
      <c r="A341" s="13"/>
      <c r="B341" s="13"/>
      <c r="C341" s="13"/>
      <c r="D341" s="20"/>
      <c r="E341" s="9"/>
      <c r="F341" s="9"/>
      <c r="G341" s="9"/>
      <c r="H341" s="2"/>
      <c r="I341" s="12"/>
      <c r="J341" s="33"/>
      <c r="K341" s="33"/>
    </row>
    <row r="342" spans="1:11" s="17" customFormat="1" ht="19.5" customHeight="1">
      <c r="A342" s="13"/>
      <c r="B342" s="13"/>
      <c r="C342" s="13"/>
      <c r="D342" s="20"/>
      <c r="E342" s="9"/>
      <c r="F342" s="9"/>
      <c r="G342" s="9"/>
      <c r="H342" s="2"/>
      <c r="I342" s="12"/>
      <c r="J342" s="33"/>
      <c r="K342" s="33"/>
    </row>
    <row r="343" spans="1:11" s="17" customFormat="1" ht="19.5" customHeight="1">
      <c r="A343" s="13"/>
      <c r="B343" s="13"/>
      <c r="C343" s="13"/>
      <c r="D343" s="20"/>
      <c r="E343" s="9"/>
      <c r="F343" s="9"/>
      <c r="G343" s="9"/>
      <c r="H343" s="2"/>
      <c r="I343" s="12"/>
      <c r="J343" s="33"/>
      <c r="K343" s="33"/>
    </row>
    <row r="344" spans="1:11" s="17" customFormat="1" ht="19.5" customHeight="1">
      <c r="A344" s="13"/>
      <c r="B344" s="13"/>
      <c r="C344" s="13"/>
      <c r="D344" s="20"/>
      <c r="E344" s="9"/>
      <c r="F344" s="9"/>
      <c r="G344" s="9"/>
      <c r="H344" s="2"/>
      <c r="I344" s="12"/>
      <c r="J344" s="33"/>
      <c r="K344" s="33"/>
    </row>
    <row r="345" spans="1:11" s="17" customFormat="1" ht="19.5" customHeight="1">
      <c r="A345" s="13"/>
      <c r="B345" s="13"/>
      <c r="C345" s="13"/>
      <c r="D345" s="20"/>
      <c r="E345" s="9"/>
      <c r="F345" s="9"/>
      <c r="G345" s="9"/>
      <c r="H345" s="2"/>
      <c r="I345" s="12"/>
      <c r="J345" s="33"/>
      <c r="K345" s="33"/>
    </row>
    <row r="346" spans="1:11" s="17" customFormat="1" ht="19.5" customHeight="1">
      <c r="A346" s="13"/>
      <c r="B346" s="13"/>
      <c r="C346" s="13"/>
      <c r="D346" s="20"/>
      <c r="E346" s="9"/>
      <c r="F346" s="9"/>
      <c r="G346" s="9"/>
      <c r="H346" s="2"/>
      <c r="I346" s="12"/>
      <c r="J346" s="33"/>
      <c r="K346" s="33"/>
    </row>
    <row r="347" spans="1:11" s="17" customFormat="1" ht="19.5" customHeight="1">
      <c r="A347" s="13"/>
      <c r="B347" s="13"/>
      <c r="C347" s="13"/>
      <c r="D347" s="20"/>
      <c r="E347" s="9"/>
      <c r="F347" s="9"/>
      <c r="G347" s="9"/>
      <c r="H347" s="2"/>
      <c r="I347" s="12"/>
      <c r="J347" s="33"/>
      <c r="K347" s="33"/>
    </row>
    <row r="348" spans="1:11" s="17" customFormat="1" ht="19.5" customHeight="1">
      <c r="A348" s="13"/>
      <c r="B348" s="13"/>
      <c r="C348" s="13"/>
      <c r="D348" s="20"/>
      <c r="E348" s="9"/>
      <c r="F348" s="9"/>
      <c r="G348" s="9"/>
      <c r="H348" s="2"/>
      <c r="I348" s="12"/>
      <c r="J348" s="33"/>
      <c r="K348" s="33"/>
    </row>
    <row r="349" spans="1:11" s="17" customFormat="1" ht="19.5" customHeight="1">
      <c r="A349" s="13"/>
      <c r="B349" s="13"/>
      <c r="C349" s="13"/>
      <c r="D349" s="20"/>
      <c r="E349" s="9"/>
      <c r="F349" s="9"/>
      <c r="G349" s="9"/>
      <c r="H349" s="2"/>
      <c r="I349" s="12"/>
      <c r="J349" s="33"/>
      <c r="K349" s="33"/>
    </row>
    <row r="350" spans="1:11" s="17" customFormat="1" ht="19.5" customHeight="1">
      <c r="A350" s="13"/>
      <c r="B350" s="13"/>
      <c r="C350" s="13"/>
      <c r="D350" s="20"/>
      <c r="E350" s="9"/>
      <c r="F350" s="9"/>
      <c r="G350" s="9"/>
      <c r="H350" s="2"/>
      <c r="I350" s="12"/>
      <c r="J350" s="33"/>
      <c r="K350" s="33"/>
    </row>
    <row r="351" spans="1:11" s="17" customFormat="1" ht="19.5" customHeight="1">
      <c r="A351" s="13"/>
      <c r="B351" s="13"/>
      <c r="C351" s="13"/>
      <c r="D351" s="20"/>
      <c r="E351" s="9"/>
      <c r="F351" s="9"/>
      <c r="G351" s="9"/>
      <c r="H351" s="2"/>
      <c r="I351" s="12"/>
      <c r="J351" s="33"/>
      <c r="K351" s="33"/>
    </row>
    <row r="352" spans="1:11" s="17" customFormat="1" ht="19.5" customHeight="1">
      <c r="A352" s="13"/>
      <c r="B352" s="13"/>
      <c r="C352" s="13"/>
      <c r="D352" s="20"/>
      <c r="E352" s="9"/>
      <c r="F352" s="9"/>
      <c r="G352" s="9"/>
      <c r="H352" s="2"/>
      <c r="I352" s="12"/>
      <c r="J352" s="33"/>
      <c r="K352" s="33"/>
    </row>
    <row r="353" spans="1:11" s="17" customFormat="1" ht="19.5" customHeight="1">
      <c r="A353" s="13"/>
      <c r="B353" s="13"/>
      <c r="C353" s="13"/>
      <c r="D353" s="20"/>
      <c r="E353" s="9"/>
      <c r="F353" s="9"/>
      <c r="G353" s="9"/>
      <c r="H353" s="2"/>
      <c r="I353" s="12"/>
      <c r="J353" s="33"/>
      <c r="K353" s="33"/>
    </row>
    <row r="354" spans="1:11" s="17" customFormat="1" ht="19.5" customHeight="1">
      <c r="A354" s="13"/>
      <c r="B354" s="13"/>
      <c r="C354" s="13"/>
      <c r="D354" s="20"/>
      <c r="E354" s="9"/>
      <c r="F354" s="9"/>
      <c r="G354" s="9"/>
      <c r="H354" s="2"/>
      <c r="I354" s="12"/>
      <c r="J354" s="33"/>
      <c r="K354" s="33"/>
    </row>
    <row r="355" spans="1:11" s="17" customFormat="1" ht="19.5" customHeight="1">
      <c r="A355" s="13"/>
      <c r="B355" s="13"/>
      <c r="C355" s="13"/>
      <c r="D355" s="20"/>
      <c r="E355" s="9"/>
      <c r="F355" s="9"/>
      <c r="G355" s="9"/>
      <c r="H355" s="2"/>
      <c r="I355" s="12"/>
      <c r="J355" s="33"/>
      <c r="K355" s="33"/>
    </row>
    <row r="356" spans="1:11" s="17" customFormat="1" ht="19.5" customHeight="1">
      <c r="A356" s="13"/>
      <c r="B356" s="13"/>
      <c r="C356" s="13"/>
      <c r="D356" s="20"/>
      <c r="E356" s="9"/>
      <c r="F356" s="9"/>
      <c r="G356" s="9"/>
      <c r="H356" s="2"/>
      <c r="I356" s="12"/>
      <c r="J356" s="33"/>
      <c r="K356" s="33"/>
    </row>
    <row r="357" spans="1:11" s="17" customFormat="1" ht="19.5" customHeight="1">
      <c r="A357" s="13"/>
      <c r="B357" s="13"/>
      <c r="C357" s="13"/>
      <c r="D357" s="20"/>
      <c r="E357" s="9"/>
      <c r="F357" s="9"/>
      <c r="G357" s="9"/>
      <c r="H357" s="2"/>
      <c r="I357" s="12"/>
      <c r="J357" s="33"/>
      <c r="K357" s="33"/>
    </row>
    <row r="358" spans="1:11" s="17" customFormat="1" ht="19.5" customHeight="1">
      <c r="A358" s="13"/>
      <c r="B358" s="13"/>
      <c r="C358" s="13"/>
      <c r="D358" s="20"/>
      <c r="E358" s="9"/>
      <c r="F358" s="9"/>
      <c r="G358" s="9"/>
      <c r="H358" s="2"/>
      <c r="I358" s="12"/>
      <c r="J358" s="33"/>
      <c r="K358" s="33"/>
    </row>
    <row r="359" spans="1:11" s="17" customFormat="1" ht="19.5" customHeight="1">
      <c r="A359" s="13"/>
      <c r="B359" s="13"/>
      <c r="C359" s="13"/>
      <c r="D359" s="20"/>
      <c r="E359" s="9"/>
      <c r="F359" s="9"/>
      <c r="G359" s="9"/>
      <c r="H359" s="2"/>
      <c r="I359" s="12"/>
      <c r="J359" s="33"/>
      <c r="K359" s="33"/>
    </row>
    <row r="360" spans="1:11" s="17" customFormat="1" ht="19.5" customHeight="1">
      <c r="A360" s="13"/>
      <c r="B360" s="13"/>
      <c r="C360" s="13"/>
      <c r="D360" s="20"/>
      <c r="E360" s="9"/>
      <c r="F360" s="9"/>
      <c r="G360" s="9"/>
      <c r="H360" s="2"/>
      <c r="I360" s="12"/>
      <c r="J360" s="33"/>
      <c r="K360" s="33"/>
    </row>
    <row r="361" spans="1:11" s="17" customFormat="1" ht="19.5" customHeight="1">
      <c r="A361" s="13"/>
      <c r="B361" s="13"/>
      <c r="C361" s="13"/>
      <c r="D361" s="20"/>
      <c r="E361" s="9"/>
      <c r="F361" s="9"/>
      <c r="G361" s="9"/>
      <c r="H361" s="2"/>
      <c r="I361" s="12"/>
      <c r="J361" s="33"/>
      <c r="K361" s="33"/>
    </row>
    <row r="362" spans="1:11" s="17" customFormat="1" ht="19.5" customHeight="1">
      <c r="A362" s="13"/>
      <c r="B362" s="13"/>
      <c r="C362" s="13"/>
      <c r="D362" s="20"/>
      <c r="E362" s="9"/>
      <c r="F362" s="9"/>
      <c r="G362" s="9"/>
      <c r="H362" s="2"/>
      <c r="I362" s="12"/>
      <c r="J362" s="33"/>
      <c r="K362" s="33"/>
    </row>
    <row r="363" spans="1:11" s="17" customFormat="1" ht="19.5" customHeight="1">
      <c r="A363" s="13"/>
      <c r="B363" s="13"/>
      <c r="C363" s="13"/>
      <c r="D363" s="20"/>
      <c r="E363" s="9"/>
      <c r="F363" s="9"/>
      <c r="G363" s="9"/>
      <c r="H363" s="2"/>
      <c r="I363" s="12"/>
      <c r="J363" s="33"/>
      <c r="K363" s="33"/>
    </row>
    <row r="364" spans="1:11" s="17" customFormat="1" ht="19.5" customHeight="1">
      <c r="A364" s="13"/>
      <c r="B364" s="13"/>
      <c r="C364" s="13"/>
      <c r="D364" s="20"/>
      <c r="E364" s="9"/>
      <c r="F364" s="9"/>
      <c r="G364" s="9"/>
      <c r="H364" s="2"/>
      <c r="I364" s="12"/>
      <c r="J364" s="33"/>
      <c r="K364" s="33"/>
    </row>
    <row r="365" spans="1:11" s="17" customFormat="1" ht="19.5" customHeight="1">
      <c r="A365" s="13"/>
      <c r="B365" s="13"/>
      <c r="C365" s="13"/>
      <c r="D365" s="20"/>
      <c r="E365" s="9"/>
      <c r="F365" s="9"/>
      <c r="G365" s="9"/>
      <c r="H365" s="2"/>
      <c r="I365" s="12"/>
      <c r="J365" s="33"/>
      <c r="K365" s="33"/>
    </row>
    <row r="366" spans="1:11" s="17" customFormat="1" ht="19.5" customHeight="1">
      <c r="A366" s="13"/>
      <c r="B366" s="13"/>
      <c r="C366" s="13"/>
      <c r="D366" s="20"/>
      <c r="E366" s="9"/>
      <c r="F366" s="9"/>
      <c r="G366" s="9"/>
      <c r="H366" s="2"/>
      <c r="I366" s="12"/>
      <c r="J366" s="33"/>
      <c r="K366" s="33"/>
    </row>
    <row r="367" spans="1:11" s="17" customFormat="1" ht="19.5" customHeight="1">
      <c r="A367" s="13"/>
      <c r="B367" s="13"/>
      <c r="C367" s="13"/>
      <c r="D367" s="20"/>
      <c r="E367" s="9"/>
      <c r="F367" s="9"/>
      <c r="G367" s="9"/>
      <c r="H367" s="2"/>
      <c r="I367" s="12"/>
      <c r="J367" s="33"/>
      <c r="K367" s="33"/>
    </row>
    <row r="368" spans="1:11" s="17" customFormat="1" ht="19.5" customHeight="1">
      <c r="A368" s="13"/>
      <c r="B368" s="13"/>
      <c r="C368" s="13"/>
      <c r="D368" s="20"/>
      <c r="E368" s="9"/>
      <c r="F368" s="9"/>
      <c r="G368" s="9"/>
      <c r="H368" s="2"/>
      <c r="I368" s="12"/>
      <c r="J368" s="33"/>
      <c r="K368" s="33"/>
    </row>
    <row r="369" spans="1:11" s="17" customFormat="1" ht="19.5" customHeight="1">
      <c r="A369" s="13"/>
      <c r="B369" s="13"/>
      <c r="C369" s="13"/>
      <c r="D369" s="20"/>
      <c r="E369" s="9"/>
      <c r="F369" s="9"/>
      <c r="G369" s="9"/>
      <c r="H369" s="2"/>
      <c r="I369" s="12"/>
      <c r="J369" s="33"/>
      <c r="K369" s="33"/>
    </row>
    <row r="370" spans="1:11" s="17" customFormat="1" ht="19.5" customHeight="1">
      <c r="A370" s="13"/>
      <c r="B370" s="13"/>
      <c r="C370" s="13"/>
      <c r="D370" s="20"/>
      <c r="E370" s="9"/>
      <c r="F370" s="9"/>
      <c r="G370" s="9"/>
      <c r="H370" s="2"/>
      <c r="I370" s="12"/>
      <c r="J370" s="33"/>
      <c r="K370" s="33"/>
    </row>
    <row r="371" spans="1:11" s="17" customFormat="1" ht="19.5" customHeight="1">
      <c r="A371" s="13"/>
      <c r="B371" s="13"/>
      <c r="C371" s="13"/>
      <c r="D371" s="20"/>
      <c r="E371" s="9"/>
      <c r="F371" s="9"/>
      <c r="G371" s="9"/>
      <c r="H371" s="2"/>
      <c r="I371" s="12"/>
      <c r="J371" s="33"/>
      <c r="K371" s="33"/>
    </row>
    <row r="372" spans="1:11" s="17" customFormat="1" ht="19.5" customHeight="1">
      <c r="A372" s="13"/>
      <c r="B372" s="13"/>
      <c r="C372" s="13"/>
      <c r="D372" s="20"/>
      <c r="E372" s="9"/>
      <c r="F372" s="9"/>
      <c r="G372" s="9"/>
      <c r="H372" s="2"/>
      <c r="I372" s="12"/>
      <c r="J372" s="33"/>
      <c r="K372" s="33"/>
    </row>
    <row r="373" spans="1:11" s="17" customFormat="1" ht="19.5" customHeight="1">
      <c r="A373" s="13"/>
      <c r="B373" s="13"/>
      <c r="C373" s="13"/>
      <c r="D373" s="20"/>
      <c r="E373" s="9"/>
      <c r="F373" s="9"/>
      <c r="G373" s="9"/>
      <c r="H373" s="2"/>
      <c r="I373" s="12"/>
      <c r="J373" s="33"/>
      <c r="K373" s="33"/>
    </row>
    <row r="374" spans="1:11" s="17" customFormat="1" ht="19.5" customHeight="1">
      <c r="A374" s="13"/>
      <c r="B374" s="13"/>
      <c r="C374" s="13"/>
      <c r="D374" s="20"/>
      <c r="E374" s="9"/>
      <c r="F374" s="9"/>
      <c r="G374" s="9"/>
      <c r="H374" s="2"/>
      <c r="I374" s="12"/>
      <c r="J374" s="33"/>
      <c r="K374" s="33"/>
    </row>
    <row r="375" spans="1:11" s="17" customFormat="1" ht="19.5" customHeight="1">
      <c r="A375" s="13"/>
      <c r="B375" s="13"/>
      <c r="C375" s="13"/>
      <c r="D375" s="20"/>
      <c r="E375" s="9"/>
      <c r="F375" s="9"/>
      <c r="G375" s="9"/>
      <c r="H375" s="2"/>
      <c r="I375" s="12"/>
      <c r="J375" s="33"/>
      <c r="K375" s="33"/>
    </row>
    <row r="376" spans="1:11" s="17" customFormat="1" ht="19.5" customHeight="1">
      <c r="A376" s="13"/>
      <c r="B376" s="13"/>
      <c r="C376" s="13"/>
      <c r="D376" s="20"/>
      <c r="E376" s="9"/>
      <c r="F376" s="9"/>
      <c r="G376" s="9"/>
      <c r="H376" s="2"/>
      <c r="I376" s="12"/>
      <c r="J376" s="33"/>
      <c r="K376" s="33"/>
    </row>
    <row r="377" spans="1:11" s="17" customFormat="1" ht="19.5" customHeight="1">
      <c r="A377" s="13"/>
      <c r="B377" s="13"/>
      <c r="C377" s="13"/>
      <c r="D377" s="20"/>
      <c r="E377" s="9"/>
      <c r="F377" s="9"/>
      <c r="G377" s="9"/>
      <c r="H377" s="2"/>
      <c r="I377" s="12"/>
      <c r="J377" s="33"/>
      <c r="K377" s="33"/>
    </row>
    <row r="378" spans="1:11" s="17" customFormat="1" ht="19.5" customHeight="1">
      <c r="A378" s="13"/>
      <c r="B378" s="13"/>
      <c r="C378" s="13"/>
      <c r="D378" s="20"/>
      <c r="E378" s="9"/>
      <c r="F378" s="9"/>
      <c r="G378" s="9"/>
      <c r="H378" s="2"/>
      <c r="I378" s="12"/>
      <c r="J378" s="33"/>
      <c r="K378" s="33"/>
    </row>
    <row r="379" spans="1:11" s="17" customFormat="1" ht="19.5" customHeight="1">
      <c r="A379" s="13"/>
      <c r="B379" s="13"/>
      <c r="C379" s="13"/>
      <c r="D379" s="20"/>
      <c r="E379" s="9"/>
      <c r="F379" s="9"/>
      <c r="G379" s="9"/>
      <c r="H379" s="2"/>
      <c r="I379" s="12"/>
      <c r="J379" s="33"/>
      <c r="K379" s="33"/>
    </row>
    <row r="380" spans="1:11" s="17" customFormat="1" ht="19.5" customHeight="1">
      <c r="A380" s="13"/>
      <c r="B380" s="13"/>
      <c r="C380" s="13"/>
      <c r="D380" s="20"/>
      <c r="E380" s="9"/>
      <c r="F380" s="9"/>
      <c r="G380" s="9"/>
      <c r="H380" s="2"/>
      <c r="I380" s="12"/>
      <c r="J380" s="33"/>
      <c r="K380" s="33"/>
    </row>
    <row r="381" spans="1:11" s="17" customFormat="1" ht="19.5" customHeight="1">
      <c r="A381" s="13"/>
      <c r="B381" s="13"/>
      <c r="C381" s="13"/>
      <c r="D381" s="20"/>
      <c r="E381" s="9"/>
      <c r="F381" s="9"/>
      <c r="G381" s="9"/>
      <c r="H381" s="2"/>
      <c r="I381" s="12"/>
      <c r="J381" s="33"/>
      <c r="K381" s="33"/>
    </row>
    <row r="382" spans="1:11" s="17" customFormat="1" ht="19.5" customHeight="1">
      <c r="A382" s="13"/>
      <c r="B382" s="13"/>
      <c r="C382" s="13"/>
      <c r="D382" s="20"/>
      <c r="E382" s="9"/>
      <c r="F382" s="9"/>
      <c r="G382" s="9"/>
      <c r="H382" s="2"/>
      <c r="I382" s="12"/>
      <c r="J382" s="33"/>
      <c r="K382" s="33"/>
    </row>
    <row r="383" spans="1:11" s="17" customFormat="1" ht="19.5" customHeight="1">
      <c r="A383" s="13"/>
      <c r="B383" s="13"/>
      <c r="C383" s="13"/>
      <c r="D383" s="20"/>
      <c r="E383" s="9"/>
      <c r="F383" s="9"/>
      <c r="G383" s="9"/>
      <c r="H383" s="2"/>
      <c r="I383" s="12"/>
      <c r="J383" s="33"/>
      <c r="K383" s="33"/>
    </row>
    <row r="384" spans="1:11" s="17" customFormat="1" ht="19.5" customHeight="1">
      <c r="A384" s="13"/>
      <c r="B384" s="13"/>
      <c r="C384" s="13"/>
      <c r="D384" s="20"/>
      <c r="E384" s="9"/>
      <c r="F384" s="9"/>
      <c r="G384" s="9"/>
      <c r="H384" s="2"/>
      <c r="I384" s="12"/>
      <c r="J384" s="33"/>
      <c r="K384" s="33"/>
    </row>
    <row r="385" spans="1:11" s="17" customFormat="1" ht="19.5" customHeight="1">
      <c r="A385" s="13"/>
      <c r="B385" s="13"/>
      <c r="C385" s="13"/>
      <c r="D385" s="20"/>
      <c r="E385" s="9"/>
      <c r="F385" s="9"/>
      <c r="G385" s="9"/>
      <c r="H385" s="2"/>
      <c r="I385" s="12"/>
      <c r="J385" s="33"/>
      <c r="K385" s="33"/>
    </row>
    <row r="386" spans="1:11" s="17" customFormat="1" ht="19.5" customHeight="1">
      <c r="A386" s="13"/>
      <c r="B386" s="13"/>
      <c r="C386" s="13"/>
      <c r="D386" s="20"/>
      <c r="E386" s="9"/>
      <c r="F386" s="9"/>
      <c r="G386" s="9"/>
      <c r="H386" s="2"/>
      <c r="I386" s="12"/>
      <c r="J386" s="33"/>
      <c r="K386" s="33"/>
    </row>
    <row r="387" spans="1:11" s="17" customFormat="1" ht="19.5" customHeight="1">
      <c r="A387" s="13"/>
      <c r="B387" s="13"/>
      <c r="C387" s="13"/>
      <c r="D387" s="20"/>
      <c r="E387" s="9"/>
      <c r="F387" s="9"/>
      <c r="G387" s="9"/>
      <c r="H387" s="2"/>
      <c r="I387" s="12"/>
      <c r="J387" s="33"/>
      <c r="K387" s="33"/>
    </row>
    <row r="388" spans="1:11" s="17" customFormat="1" ht="19.5" customHeight="1">
      <c r="A388" s="13"/>
      <c r="B388" s="13"/>
      <c r="C388" s="13"/>
      <c r="D388" s="20"/>
      <c r="E388" s="9"/>
      <c r="F388" s="9"/>
      <c r="G388" s="9"/>
      <c r="H388" s="2"/>
      <c r="I388" s="12"/>
      <c r="J388" s="33"/>
      <c r="K388" s="33"/>
    </row>
    <row r="389" spans="1:11" s="17" customFormat="1" ht="19.5" customHeight="1">
      <c r="A389" s="13"/>
      <c r="B389" s="13"/>
      <c r="C389" s="13"/>
      <c r="D389" s="20"/>
      <c r="E389" s="9"/>
      <c r="F389" s="9"/>
      <c r="G389" s="9"/>
      <c r="H389" s="2"/>
      <c r="I389" s="12"/>
      <c r="J389" s="33"/>
      <c r="K389" s="33"/>
    </row>
    <row r="390" spans="1:11" s="17" customFormat="1" ht="19.5" customHeight="1">
      <c r="A390" s="13"/>
      <c r="B390" s="13"/>
      <c r="C390" s="13"/>
      <c r="D390" s="20"/>
      <c r="E390" s="9"/>
      <c r="F390" s="9"/>
      <c r="G390" s="9"/>
      <c r="H390" s="2"/>
      <c r="I390" s="12"/>
      <c r="J390" s="33"/>
      <c r="K390" s="33"/>
    </row>
    <row r="391" spans="1:11" s="17" customFormat="1" ht="19.5" customHeight="1">
      <c r="A391" s="13"/>
      <c r="B391" s="13"/>
      <c r="C391" s="13"/>
      <c r="D391" s="20"/>
      <c r="E391" s="9"/>
      <c r="F391" s="9"/>
      <c r="G391" s="9"/>
      <c r="H391" s="2"/>
      <c r="I391" s="12"/>
      <c r="J391" s="33"/>
      <c r="K391" s="33"/>
    </row>
    <row r="392" spans="1:11" s="17" customFormat="1" ht="19.5" customHeight="1">
      <c r="A392" s="13"/>
      <c r="B392" s="13"/>
      <c r="C392" s="13"/>
      <c r="D392" s="20"/>
      <c r="E392" s="9"/>
      <c r="F392" s="9"/>
      <c r="G392" s="9"/>
      <c r="H392" s="2"/>
      <c r="I392" s="12"/>
      <c r="J392" s="33"/>
      <c r="K392" s="33"/>
    </row>
    <row r="393" spans="1:11" s="17" customFormat="1" ht="19.5" customHeight="1">
      <c r="A393" s="13"/>
      <c r="B393" s="13"/>
      <c r="C393" s="13"/>
      <c r="D393" s="20"/>
      <c r="E393" s="9"/>
      <c r="F393" s="9"/>
      <c r="G393" s="9"/>
      <c r="H393" s="2"/>
      <c r="I393" s="12"/>
      <c r="J393" s="33"/>
      <c r="K393" s="33"/>
    </row>
    <row r="394" spans="1:11" s="17" customFormat="1" ht="19.5" customHeight="1">
      <c r="A394" s="13"/>
      <c r="B394" s="13"/>
      <c r="C394" s="13"/>
      <c r="D394" s="20"/>
      <c r="E394" s="9"/>
      <c r="F394" s="9"/>
      <c r="G394" s="9"/>
      <c r="H394" s="2"/>
      <c r="I394" s="12"/>
      <c r="J394" s="33"/>
      <c r="K394" s="33"/>
    </row>
    <row r="395" spans="1:11" s="17" customFormat="1" ht="19.5" customHeight="1">
      <c r="A395" s="13"/>
      <c r="B395" s="13"/>
      <c r="C395" s="13"/>
      <c r="D395" s="20"/>
      <c r="E395" s="9"/>
      <c r="F395" s="9"/>
      <c r="G395" s="9"/>
      <c r="H395" s="2"/>
      <c r="I395" s="12"/>
      <c r="J395" s="33"/>
      <c r="K395" s="33"/>
    </row>
    <row r="396" spans="1:11" s="17" customFormat="1" ht="19.5" customHeight="1">
      <c r="A396" s="13"/>
      <c r="B396" s="13"/>
      <c r="C396" s="13"/>
      <c r="D396" s="20"/>
      <c r="E396" s="9"/>
      <c r="F396" s="9"/>
      <c r="G396" s="9"/>
      <c r="H396" s="2"/>
      <c r="I396" s="12"/>
      <c r="J396" s="33"/>
      <c r="K396" s="33"/>
    </row>
    <row r="397" spans="1:11" s="17" customFormat="1" ht="19.5" customHeight="1">
      <c r="A397" s="13"/>
      <c r="B397" s="13"/>
      <c r="C397" s="13"/>
      <c r="D397" s="20"/>
      <c r="E397" s="9"/>
      <c r="F397" s="9"/>
      <c r="G397" s="9"/>
      <c r="H397" s="2"/>
      <c r="I397" s="12"/>
      <c r="J397" s="33"/>
      <c r="K397" s="33"/>
    </row>
    <row r="398" spans="1:11" s="17" customFormat="1" ht="19.5" customHeight="1">
      <c r="A398" s="13"/>
      <c r="B398" s="13"/>
      <c r="C398" s="13"/>
      <c r="D398" s="20"/>
      <c r="E398" s="9"/>
      <c r="F398" s="9"/>
      <c r="G398" s="9"/>
      <c r="H398" s="2"/>
      <c r="I398" s="12"/>
      <c r="J398" s="33"/>
      <c r="K398" s="33"/>
    </row>
    <row r="399" spans="1:11" s="17" customFormat="1" ht="19.5" customHeight="1">
      <c r="A399" s="13"/>
      <c r="B399" s="13"/>
      <c r="C399" s="13"/>
      <c r="D399" s="20"/>
      <c r="E399" s="9"/>
      <c r="F399" s="9"/>
      <c r="G399" s="9"/>
      <c r="H399" s="2"/>
      <c r="I399" s="12"/>
      <c r="J399" s="33"/>
      <c r="K399" s="33"/>
    </row>
    <row r="400" spans="1:11" s="17" customFormat="1" ht="19.5" customHeight="1">
      <c r="A400" s="13"/>
      <c r="B400" s="13"/>
      <c r="C400" s="13"/>
      <c r="D400" s="20"/>
      <c r="E400" s="9"/>
      <c r="F400" s="9"/>
      <c r="G400" s="9"/>
      <c r="H400" s="2"/>
      <c r="I400" s="12"/>
      <c r="J400" s="33"/>
      <c r="K400" s="33"/>
    </row>
    <row r="401" spans="1:11" s="17" customFormat="1" ht="19.5" customHeight="1">
      <c r="A401" s="13"/>
      <c r="B401" s="13"/>
      <c r="C401" s="13"/>
      <c r="D401" s="20"/>
      <c r="E401" s="9"/>
      <c r="F401" s="9"/>
      <c r="G401" s="9"/>
      <c r="H401" s="2"/>
      <c r="I401" s="12"/>
      <c r="J401" s="33"/>
      <c r="K401" s="33"/>
    </row>
    <row r="402" spans="1:11" s="17" customFormat="1" ht="19.5" customHeight="1">
      <c r="A402" s="13"/>
      <c r="B402" s="13"/>
      <c r="C402" s="13"/>
      <c r="D402" s="20"/>
      <c r="E402" s="9"/>
      <c r="F402" s="9"/>
      <c r="G402" s="9"/>
      <c r="H402" s="2"/>
      <c r="I402" s="12"/>
      <c r="J402" s="33"/>
      <c r="K402" s="33"/>
    </row>
    <row r="403" spans="1:11" s="17" customFormat="1" ht="19.5" customHeight="1">
      <c r="A403" s="13"/>
      <c r="B403" s="13"/>
      <c r="C403" s="13"/>
      <c r="D403" s="20"/>
      <c r="E403" s="9"/>
      <c r="F403" s="9"/>
      <c r="G403" s="9"/>
      <c r="H403" s="2"/>
      <c r="I403" s="12"/>
      <c r="J403" s="33"/>
      <c r="K403" s="33"/>
    </row>
    <row r="404" spans="1:11" s="17" customFormat="1" ht="19.5" customHeight="1">
      <c r="A404" s="13"/>
      <c r="B404" s="13"/>
      <c r="C404" s="13"/>
      <c r="D404" s="20"/>
      <c r="E404" s="9"/>
      <c r="F404" s="9"/>
      <c r="G404" s="9"/>
      <c r="H404" s="2"/>
      <c r="I404" s="12"/>
      <c r="J404" s="33"/>
      <c r="K404" s="33"/>
    </row>
    <row r="405" spans="1:11" s="17" customFormat="1" ht="19.5" customHeight="1">
      <c r="A405" s="13"/>
      <c r="B405" s="13"/>
      <c r="C405" s="13"/>
      <c r="D405" s="20"/>
      <c r="E405" s="9"/>
      <c r="F405" s="9"/>
      <c r="G405" s="9"/>
      <c r="H405" s="2"/>
      <c r="I405" s="12"/>
      <c r="J405" s="33"/>
      <c r="K405" s="33"/>
    </row>
    <row r="406" spans="1:11" s="17" customFormat="1" ht="19.5" customHeight="1">
      <c r="A406" s="13"/>
      <c r="B406" s="13"/>
      <c r="C406" s="13"/>
      <c r="D406" s="20"/>
      <c r="E406" s="9"/>
      <c r="F406" s="9"/>
      <c r="G406" s="9"/>
      <c r="H406" s="2"/>
      <c r="I406" s="12"/>
      <c r="J406" s="33"/>
      <c r="K406" s="33"/>
    </row>
    <row r="407" spans="1:11" s="17" customFormat="1" ht="19.5" customHeight="1">
      <c r="A407" s="13"/>
      <c r="B407" s="13"/>
      <c r="C407" s="13"/>
      <c r="D407" s="20"/>
      <c r="E407" s="9"/>
      <c r="F407" s="9"/>
      <c r="G407" s="9"/>
      <c r="H407" s="2"/>
      <c r="I407" s="12"/>
      <c r="J407" s="33"/>
      <c r="K407" s="33"/>
    </row>
    <row r="408" spans="1:11" s="17" customFormat="1" ht="19.5" customHeight="1">
      <c r="A408" s="13"/>
      <c r="B408" s="13"/>
      <c r="C408" s="13"/>
      <c r="D408" s="20"/>
      <c r="E408" s="9"/>
      <c r="F408" s="9"/>
      <c r="G408" s="9"/>
      <c r="H408" s="2"/>
      <c r="I408" s="12"/>
      <c r="J408" s="33"/>
      <c r="K408" s="33"/>
    </row>
    <row r="409" spans="1:11" s="17" customFormat="1" ht="19.5" customHeight="1">
      <c r="A409" s="13"/>
      <c r="B409" s="13"/>
      <c r="C409" s="13"/>
      <c r="D409" s="20"/>
      <c r="E409" s="9"/>
      <c r="F409" s="9"/>
      <c r="G409" s="9"/>
      <c r="H409" s="2"/>
      <c r="I409" s="12"/>
      <c r="J409" s="33"/>
      <c r="K409" s="33"/>
    </row>
    <row r="410" spans="1:11" s="17" customFormat="1" ht="19.5" customHeight="1">
      <c r="A410" s="13"/>
      <c r="B410" s="13"/>
      <c r="C410" s="13"/>
      <c r="D410" s="20"/>
      <c r="E410" s="9"/>
      <c r="F410" s="9"/>
      <c r="G410" s="9"/>
      <c r="H410" s="2"/>
      <c r="I410" s="12"/>
      <c r="J410" s="33"/>
      <c r="K410" s="33"/>
    </row>
    <row r="411" spans="1:11" s="17" customFormat="1" ht="19.5" customHeight="1">
      <c r="A411" s="13"/>
      <c r="B411" s="13"/>
      <c r="C411" s="13"/>
      <c r="D411" s="20"/>
      <c r="E411" s="9"/>
      <c r="F411" s="9"/>
      <c r="G411" s="9"/>
      <c r="H411" s="2"/>
      <c r="I411" s="12"/>
      <c r="J411" s="33"/>
      <c r="K411" s="33"/>
    </row>
    <row r="412" spans="1:11" s="17" customFormat="1" ht="19.5" customHeight="1">
      <c r="A412" s="13"/>
      <c r="B412" s="13"/>
      <c r="C412" s="13"/>
      <c r="D412" s="20"/>
      <c r="E412" s="9"/>
      <c r="F412" s="9"/>
      <c r="G412" s="9"/>
      <c r="H412" s="2"/>
      <c r="I412" s="12"/>
      <c r="J412" s="33"/>
      <c r="K412" s="33"/>
    </row>
    <row r="413" ht="19.5" customHeight="1">
      <c r="H413" s="2"/>
    </row>
    <row r="414" ht="19.5" customHeight="1">
      <c r="H414" s="2"/>
    </row>
    <row r="415" ht="19.5" customHeight="1">
      <c r="H415" s="2"/>
    </row>
    <row r="416" ht="19.5" customHeight="1">
      <c r="H416" s="2"/>
    </row>
    <row r="417" ht="19.5" customHeight="1">
      <c r="H417" s="2"/>
    </row>
    <row r="418" ht="19.5" customHeight="1">
      <c r="H418" s="2"/>
    </row>
    <row r="419" ht="19.5" customHeight="1">
      <c r="H419" s="2"/>
    </row>
    <row r="420" ht="19.5" customHeight="1">
      <c r="H420" s="2"/>
    </row>
    <row r="421" ht="19.5" customHeight="1">
      <c r="H421" s="2"/>
    </row>
    <row r="422" ht="19.5" customHeight="1">
      <c r="H422" s="2"/>
    </row>
    <row r="423" ht="19.5" customHeight="1">
      <c r="H423" s="2"/>
    </row>
    <row r="424" ht="19.5" customHeight="1">
      <c r="H424" s="2"/>
    </row>
    <row r="425" ht="19.5" customHeight="1">
      <c r="H425" s="2"/>
    </row>
    <row r="426" ht="19.5" customHeight="1">
      <c r="H426" s="2"/>
    </row>
    <row r="427" ht="13.5">
      <c r="H427" s="2"/>
    </row>
    <row r="428" ht="13.5">
      <c r="H428" s="2"/>
    </row>
    <row r="429" ht="13.5">
      <c r="H429" s="2"/>
    </row>
    <row r="430" ht="13.5">
      <c r="H430" s="2"/>
    </row>
    <row r="431" ht="13.5">
      <c r="H431" s="2"/>
    </row>
    <row r="432" ht="13.5">
      <c r="H432" s="2"/>
    </row>
    <row r="433" ht="13.5">
      <c r="H433" s="2"/>
    </row>
    <row r="434" ht="13.5">
      <c r="H434" s="2"/>
    </row>
    <row r="435" ht="13.5">
      <c r="H435" s="2"/>
    </row>
    <row r="436" ht="13.5">
      <c r="H436" s="2"/>
    </row>
    <row r="437" ht="13.5">
      <c r="H437" s="2"/>
    </row>
    <row r="438" ht="13.5">
      <c r="H438" s="2"/>
    </row>
    <row r="439" ht="13.5">
      <c r="H439" s="2"/>
    </row>
    <row r="440" ht="13.5">
      <c r="H440" s="2"/>
    </row>
    <row r="441" ht="13.5">
      <c r="H441" s="2"/>
    </row>
    <row r="442" ht="13.5">
      <c r="H442" s="2"/>
    </row>
    <row r="443" ht="13.5">
      <c r="H443" s="2"/>
    </row>
    <row r="444" ht="13.5">
      <c r="H444" s="2"/>
    </row>
    <row r="445" ht="13.5">
      <c r="H445" s="2"/>
    </row>
    <row r="446" ht="13.5">
      <c r="H446" s="2"/>
    </row>
    <row r="447" ht="13.5">
      <c r="H447" s="2"/>
    </row>
    <row r="448" ht="13.5">
      <c r="H448" s="2"/>
    </row>
    <row r="449" ht="13.5">
      <c r="H449" s="2"/>
    </row>
    <row r="450" ht="13.5">
      <c r="H450" s="2"/>
    </row>
    <row r="451" ht="13.5">
      <c r="H451" s="2"/>
    </row>
    <row r="452" ht="13.5">
      <c r="H452" s="2"/>
    </row>
    <row r="453" ht="13.5">
      <c r="H453" s="2"/>
    </row>
    <row r="454" ht="13.5">
      <c r="H454" s="2"/>
    </row>
    <row r="455" ht="13.5">
      <c r="H455" s="2"/>
    </row>
    <row r="456" ht="13.5">
      <c r="H456" s="2"/>
    </row>
    <row r="457" ht="13.5">
      <c r="H457" s="2"/>
    </row>
    <row r="458" ht="13.5">
      <c r="H458" s="2"/>
    </row>
    <row r="459" ht="13.5">
      <c r="H459" s="2"/>
    </row>
    <row r="460" ht="13.5">
      <c r="H460" s="2"/>
    </row>
    <row r="461" ht="13.5">
      <c r="H461" s="2"/>
    </row>
    <row r="462" ht="13.5">
      <c r="H462" s="2"/>
    </row>
    <row r="463" ht="13.5">
      <c r="H463" s="2"/>
    </row>
    <row r="464" ht="13.5">
      <c r="H464" s="2"/>
    </row>
    <row r="465" ht="13.5">
      <c r="H465" s="2"/>
    </row>
    <row r="466" ht="13.5">
      <c r="H466" s="2"/>
    </row>
    <row r="467" ht="13.5">
      <c r="H467" s="2"/>
    </row>
    <row r="468" ht="13.5">
      <c r="H468" s="2"/>
    </row>
    <row r="469" ht="13.5">
      <c r="H469" s="2"/>
    </row>
    <row r="470" ht="13.5">
      <c r="H470" s="2"/>
    </row>
    <row r="471" ht="13.5">
      <c r="H471" s="2"/>
    </row>
    <row r="472" ht="13.5">
      <c r="H472" s="2"/>
    </row>
    <row r="473" ht="13.5">
      <c r="H473" s="2"/>
    </row>
    <row r="474" ht="13.5">
      <c r="H474" s="2"/>
    </row>
    <row r="475" ht="13.5">
      <c r="H475" s="2"/>
    </row>
    <row r="476" ht="13.5">
      <c r="H476" s="2"/>
    </row>
    <row r="477" ht="13.5">
      <c r="H477" s="2"/>
    </row>
    <row r="478" ht="13.5">
      <c r="H478" s="2"/>
    </row>
    <row r="479" ht="13.5">
      <c r="H479" s="2"/>
    </row>
    <row r="480" ht="13.5">
      <c r="H480" s="2"/>
    </row>
    <row r="481" ht="13.5">
      <c r="H481" s="2"/>
    </row>
    <row r="482" ht="13.5">
      <c r="H482" s="2"/>
    </row>
    <row r="483" ht="13.5">
      <c r="H483" s="2"/>
    </row>
    <row r="484" ht="13.5">
      <c r="H484" s="2"/>
    </row>
    <row r="485" ht="13.5">
      <c r="H485" s="2"/>
    </row>
    <row r="486" ht="13.5">
      <c r="H486" s="2"/>
    </row>
    <row r="487" ht="13.5">
      <c r="H487" s="2"/>
    </row>
    <row r="488" ht="13.5">
      <c r="H488" s="2"/>
    </row>
    <row r="489" ht="13.5">
      <c r="H489" s="2"/>
    </row>
    <row r="490" ht="13.5">
      <c r="H490" s="2"/>
    </row>
    <row r="491" ht="13.5">
      <c r="H491" s="2"/>
    </row>
    <row r="492" ht="13.5">
      <c r="H492" s="2"/>
    </row>
    <row r="493" ht="13.5">
      <c r="H493" s="2"/>
    </row>
    <row r="494" ht="13.5">
      <c r="H494" s="2"/>
    </row>
    <row r="495" ht="13.5">
      <c r="H495" s="2"/>
    </row>
    <row r="496" ht="13.5">
      <c r="H496" s="2"/>
    </row>
    <row r="497" ht="13.5">
      <c r="H497" s="2"/>
    </row>
    <row r="498" ht="13.5">
      <c r="H498" s="2"/>
    </row>
    <row r="499" ht="13.5">
      <c r="H499" s="2"/>
    </row>
    <row r="500" ht="13.5">
      <c r="H500" s="2"/>
    </row>
    <row r="501" ht="13.5">
      <c r="H501" s="2"/>
    </row>
    <row r="502" ht="13.5">
      <c r="H502" s="2"/>
    </row>
    <row r="503" ht="13.5">
      <c r="H503" s="2"/>
    </row>
    <row r="504" ht="13.5">
      <c r="H504" s="2"/>
    </row>
    <row r="505" ht="13.5">
      <c r="H505" s="2"/>
    </row>
    <row r="506" ht="13.5">
      <c r="H506" s="2"/>
    </row>
    <row r="507" ht="13.5">
      <c r="H507" s="2"/>
    </row>
    <row r="508" ht="13.5">
      <c r="H508" s="2"/>
    </row>
    <row r="509" ht="13.5">
      <c r="H509" s="2"/>
    </row>
    <row r="510" ht="13.5">
      <c r="H510" s="2"/>
    </row>
    <row r="511" ht="13.5">
      <c r="H511" s="2"/>
    </row>
    <row r="512" ht="13.5">
      <c r="H512" s="2"/>
    </row>
    <row r="513" ht="13.5">
      <c r="H513" s="2"/>
    </row>
    <row r="514" ht="13.5">
      <c r="H514" s="2"/>
    </row>
    <row r="515" ht="13.5">
      <c r="H515" s="2"/>
    </row>
    <row r="516" ht="13.5">
      <c r="H516" s="2"/>
    </row>
    <row r="517" ht="13.5">
      <c r="H517" s="2"/>
    </row>
    <row r="518" ht="13.5">
      <c r="H518" s="2"/>
    </row>
    <row r="519" ht="13.5">
      <c r="H519" s="2"/>
    </row>
    <row r="520" ht="13.5">
      <c r="H520" s="2"/>
    </row>
    <row r="521" ht="13.5">
      <c r="H521" s="2"/>
    </row>
    <row r="522" ht="13.5">
      <c r="H522" s="2"/>
    </row>
    <row r="523" ht="13.5">
      <c r="H523" s="2"/>
    </row>
    <row r="524" ht="13.5">
      <c r="H524" s="2"/>
    </row>
    <row r="525" ht="13.5">
      <c r="H525" s="2"/>
    </row>
    <row r="526" ht="13.5">
      <c r="H526" s="2"/>
    </row>
    <row r="527" ht="13.5">
      <c r="H527" s="2"/>
    </row>
    <row r="528" ht="13.5">
      <c r="H528" s="2"/>
    </row>
    <row r="529" ht="13.5">
      <c r="H529" s="2"/>
    </row>
    <row r="530" ht="13.5">
      <c r="H530" s="2"/>
    </row>
    <row r="531" ht="13.5">
      <c r="H531" s="2"/>
    </row>
    <row r="532" ht="13.5">
      <c r="H532" s="2"/>
    </row>
    <row r="533" ht="13.5">
      <c r="H533" s="2"/>
    </row>
    <row r="534" ht="13.5">
      <c r="H534" s="2"/>
    </row>
    <row r="535" ht="13.5">
      <c r="H535" s="2"/>
    </row>
    <row r="536" ht="13.5">
      <c r="H536" s="2"/>
    </row>
    <row r="537" ht="13.5">
      <c r="H537" s="2"/>
    </row>
    <row r="538" ht="13.5">
      <c r="H538" s="2"/>
    </row>
    <row r="539" ht="13.5">
      <c r="H539" s="2"/>
    </row>
    <row r="540" ht="13.5">
      <c r="H540" s="2"/>
    </row>
    <row r="541" ht="13.5">
      <c r="H541" s="2"/>
    </row>
    <row r="542" ht="13.5">
      <c r="H542" s="2"/>
    </row>
    <row r="543" ht="13.5">
      <c r="H543" s="2"/>
    </row>
    <row r="544" ht="13.5">
      <c r="H544" s="2"/>
    </row>
    <row r="545" ht="13.5">
      <c r="H545" s="2"/>
    </row>
    <row r="546" ht="13.5">
      <c r="H546" s="2"/>
    </row>
    <row r="547" ht="13.5">
      <c r="H547" s="2"/>
    </row>
    <row r="548" ht="13.5">
      <c r="H548" s="2"/>
    </row>
    <row r="549" ht="13.5">
      <c r="H549" s="2"/>
    </row>
    <row r="550" ht="13.5">
      <c r="H550" s="2"/>
    </row>
    <row r="551" ht="13.5">
      <c r="H551" s="2"/>
    </row>
    <row r="552" ht="13.5">
      <c r="H552" s="2"/>
    </row>
    <row r="553" ht="13.5">
      <c r="H553" s="2"/>
    </row>
    <row r="554" ht="13.5">
      <c r="H554" s="2"/>
    </row>
    <row r="555" ht="13.5">
      <c r="H555" s="2"/>
    </row>
    <row r="556" ht="13.5">
      <c r="H556" s="2"/>
    </row>
    <row r="557" ht="13.5">
      <c r="H557" s="2"/>
    </row>
    <row r="558" ht="13.5">
      <c r="H558" s="2"/>
    </row>
    <row r="559" ht="13.5">
      <c r="H559" s="2"/>
    </row>
    <row r="560" ht="13.5">
      <c r="H560" s="2"/>
    </row>
    <row r="561" ht="13.5">
      <c r="H561" s="2"/>
    </row>
    <row r="562" ht="13.5">
      <c r="H562" s="2"/>
    </row>
    <row r="563" ht="13.5">
      <c r="H563" s="2"/>
    </row>
    <row r="564" ht="13.5">
      <c r="H564" s="2"/>
    </row>
    <row r="565" ht="13.5">
      <c r="H565" s="2"/>
    </row>
    <row r="566" ht="13.5">
      <c r="H566" s="2"/>
    </row>
    <row r="567" ht="13.5">
      <c r="H567" s="2"/>
    </row>
    <row r="568" ht="13.5">
      <c r="H568" s="2"/>
    </row>
    <row r="569" ht="13.5">
      <c r="H569" s="2"/>
    </row>
    <row r="570" ht="13.5">
      <c r="H570" s="2"/>
    </row>
    <row r="571" ht="13.5">
      <c r="H571" s="2"/>
    </row>
    <row r="572" ht="13.5">
      <c r="H572" s="2"/>
    </row>
    <row r="573" ht="13.5">
      <c r="H573" s="2"/>
    </row>
    <row r="574" ht="13.5">
      <c r="H574" s="2"/>
    </row>
    <row r="575" ht="13.5">
      <c r="H575" s="2"/>
    </row>
    <row r="576" ht="13.5">
      <c r="H576" s="2"/>
    </row>
    <row r="577" ht="13.5">
      <c r="H577" s="2"/>
    </row>
    <row r="578" ht="13.5">
      <c r="H578" s="2"/>
    </row>
    <row r="579" ht="13.5">
      <c r="H579" s="2"/>
    </row>
    <row r="580" ht="13.5">
      <c r="H580" s="2"/>
    </row>
    <row r="581" ht="13.5">
      <c r="H581" s="2"/>
    </row>
    <row r="582" ht="13.5">
      <c r="H582" s="2"/>
    </row>
    <row r="583" ht="13.5">
      <c r="H583" s="2"/>
    </row>
    <row r="584" ht="13.5">
      <c r="H584" s="2"/>
    </row>
    <row r="585" ht="13.5">
      <c r="H585" s="2"/>
    </row>
    <row r="586" ht="13.5">
      <c r="H586" s="2"/>
    </row>
    <row r="587" ht="13.5">
      <c r="H587" s="2"/>
    </row>
    <row r="588" ht="13.5">
      <c r="H588" s="2"/>
    </row>
    <row r="589" ht="13.5">
      <c r="H589" s="2"/>
    </row>
    <row r="590" ht="13.5">
      <c r="H590" s="2"/>
    </row>
    <row r="591" ht="13.5">
      <c r="H591" s="2"/>
    </row>
    <row r="592" ht="13.5">
      <c r="H592" s="2"/>
    </row>
    <row r="593" ht="13.5">
      <c r="H593" s="2"/>
    </row>
    <row r="594" ht="13.5">
      <c r="H594" s="2"/>
    </row>
    <row r="595" ht="13.5">
      <c r="H595" s="2"/>
    </row>
    <row r="596" ht="13.5">
      <c r="H596" s="2"/>
    </row>
    <row r="597" ht="13.5">
      <c r="H597" s="2"/>
    </row>
    <row r="598" ht="13.5">
      <c r="H598" s="2"/>
    </row>
    <row r="599" ht="13.5">
      <c r="H599" s="2"/>
    </row>
    <row r="600" ht="13.5">
      <c r="H600" s="2"/>
    </row>
    <row r="601" ht="13.5">
      <c r="H601" s="2"/>
    </row>
    <row r="602" ht="13.5">
      <c r="H602" s="2"/>
    </row>
    <row r="603" ht="13.5">
      <c r="H603" s="2"/>
    </row>
    <row r="604" ht="13.5">
      <c r="H604" s="2"/>
    </row>
    <row r="605" ht="13.5">
      <c r="H605" s="2"/>
    </row>
    <row r="606" ht="13.5">
      <c r="H606" s="2"/>
    </row>
    <row r="607" ht="13.5">
      <c r="H607" s="2"/>
    </row>
    <row r="608" ht="13.5">
      <c r="H608" s="2"/>
    </row>
    <row r="609" ht="13.5">
      <c r="H609" s="2"/>
    </row>
    <row r="610" ht="13.5">
      <c r="H610" s="2"/>
    </row>
    <row r="611" ht="13.5">
      <c r="H611" s="2"/>
    </row>
    <row r="612" ht="13.5">
      <c r="H612" s="2"/>
    </row>
    <row r="613" ht="13.5">
      <c r="H613" s="2"/>
    </row>
    <row r="614" ht="13.5">
      <c r="H614" s="2"/>
    </row>
    <row r="615" ht="13.5">
      <c r="H615" s="2"/>
    </row>
    <row r="616" ht="13.5">
      <c r="H616" s="2"/>
    </row>
    <row r="617" ht="13.5">
      <c r="H617" s="2"/>
    </row>
    <row r="618" ht="13.5">
      <c r="H618" s="2"/>
    </row>
    <row r="619" ht="13.5">
      <c r="H619" s="2"/>
    </row>
    <row r="620" ht="13.5">
      <c r="H620" s="2"/>
    </row>
    <row r="621" ht="13.5">
      <c r="H621" s="2"/>
    </row>
    <row r="622" ht="13.5">
      <c r="H622" s="2"/>
    </row>
    <row r="623" ht="13.5">
      <c r="H623" s="2"/>
    </row>
    <row r="624" ht="13.5">
      <c r="H624" s="2"/>
    </row>
    <row r="625" ht="13.5">
      <c r="H625" s="2"/>
    </row>
    <row r="626" ht="13.5">
      <c r="H626" s="2"/>
    </row>
    <row r="627" ht="13.5">
      <c r="H627" s="2"/>
    </row>
    <row r="628" ht="13.5">
      <c r="H628" s="2"/>
    </row>
    <row r="629" ht="13.5">
      <c r="H629" s="2"/>
    </row>
    <row r="630" ht="13.5">
      <c r="H630" s="2"/>
    </row>
    <row r="631" ht="13.5">
      <c r="H631" s="2"/>
    </row>
    <row r="632" ht="13.5">
      <c r="H632" s="2"/>
    </row>
    <row r="633" ht="13.5">
      <c r="H633" s="2"/>
    </row>
    <row r="634" ht="13.5">
      <c r="H634" s="2"/>
    </row>
    <row r="635" ht="13.5">
      <c r="H635" s="2"/>
    </row>
    <row r="636" ht="13.5">
      <c r="H636" s="2"/>
    </row>
    <row r="637" ht="13.5">
      <c r="H637" s="2"/>
    </row>
    <row r="638" ht="13.5">
      <c r="H638" s="2"/>
    </row>
    <row r="639" ht="13.5">
      <c r="H639" s="2"/>
    </row>
    <row r="640" ht="13.5">
      <c r="H640" s="2"/>
    </row>
    <row r="641" ht="13.5">
      <c r="H641" s="2"/>
    </row>
    <row r="642" ht="13.5">
      <c r="H642" s="2"/>
    </row>
    <row r="643" ht="13.5">
      <c r="H643" s="2"/>
    </row>
    <row r="644" ht="13.5">
      <c r="H644" s="2"/>
    </row>
    <row r="645" ht="13.5">
      <c r="H645" s="2"/>
    </row>
    <row r="646" ht="13.5">
      <c r="H646" s="2"/>
    </row>
    <row r="647" ht="13.5">
      <c r="H647" s="2"/>
    </row>
    <row r="648" ht="13.5">
      <c r="H648" s="2"/>
    </row>
    <row r="649" ht="13.5">
      <c r="H649" s="2"/>
    </row>
    <row r="650" ht="13.5">
      <c r="H650" s="2"/>
    </row>
    <row r="651" ht="13.5">
      <c r="H651" s="2"/>
    </row>
    <row r="652" ht="13.5">
      <c r="H652" s="2"/>
    </row>
    <row r="653" ht="13.5">
      <c r="H653" s="2"/>
    </row>
    <row r="654" ht="13.5">
      <c r="H654" s="2"/>
    </row>
    <row r="655" ht="13.5">
      <c r="H655" s="2"/>
    </row>
    <row r="656" ht="13.5">
      <c r="H656" s="2"/>
    </row>
    <row r="657" ht="13.5">
      <c r="H657" s="2"/>
    </row>
    <row r="658" ht="13.5">
      <c r="H658" s="2"/>
    </row>
    <row r="659" ht="13.5">
      <c r="H659" s="2"/>
    </row>
    <row r="660" ht="13.5">
      <c r="H660" s="2"/>
    </row>
    <row r="661" ht="13.5">
      <c r="H661" s="2"/>
    </row>
    <row r="662" ht="13.5">
      <c r="H662" s="2"/>
    </row>
    <row r="663" ht="13.5">
      <c r="H663" s="2"/>
    </row>
    <row r="664" ht="13.5">
      <c r="H664" s="2"/>
    </row>
    <row r="665" ht="13.5">
      <c r="H665" s="2"/>
    </row>
    <row r="666" ht="13.5">
      <c r="H666" s="2"/>
    </row>
    <row r="667" ht="13.5">
      <c r="H667" s="2"/>
    </row>
    <row r="668" ht="13.5">
      <c r="H668" s="2"/>
    </row>
    <row r="669" ht="13.5">
      <c r="H669" s="2"/>
    </row>
    <row r="670" ht="13.5">
      <c r="H670" s="2"/>
    </row>
    <row r="671" ht="13.5">
      <c r="H671" s="2"/>
    </row>
    <row r="672" ht="13.5">
      <c r="H672" s="2"/>
    </row>
    <row r="673" ht="13.5">
      <c r="H673" s="2"/>
    </row>
    <row r="674" ht="13.5">
      <c r="H674" s="2"/>
    </row>
    <row r="675" ht="13.5">
      <c r="H675" s="2"/>
    </row>
    <row r="676" ht="13.5">
      <c r="H676" s="2"/>
    </row>
    <row r="677" ht="13.5">
      <c r="H677" s="2"/>
    </row>
    <row r="678" ht="13.5">
      <c r="H678" s="2"/>
    </row>
    <row r="679" ht="13.5">
      <c r="H679" s="2"/>
    </row>
    <row r="680" ht="13.5">
      <c r="H680" s="2"/>
    </row>
    <row r="681" ht="13.5">
      <c r="H681" s="2"/>
    </row>
    <row r="682" ht="13.5">
      <c r="H682" s="2"/>
    </row>
    <row r="683" ht="13.5">
      <c r="H683" s="2"/>
    </row>
    <row r="684" ht="13.5">
      <c r="H684" s="2"/>
    </row>
    <row r="685" ht="13.5">
      <c r="H685" s="2"/>
    </row>
    <row r="686" ht="13.5">
      <c r="H686" s="2"/>
    </row>
    <row r="687" ht="13.5">
      <c r="H687" s="2"/>
    </row>
    <row r="688" ht="13.5">
      <c r="H688" s="2"/>
    </row>
    <row r="689" ht="13.5">
      <c r="H689" s="2"/>
    </row>
    <row r="690" ht="13.5">
      <c r="H690" s="2"/>
    </row>
    <row r="691" ht="13.5">
      <c r="H691" s="2"/>
    </row>
    <row r="692" ht="13.5">
      <c r="H692" s="2"/>
    </row>
    <row r="693" ht="13.5">
      <c r="H693" s="2"/>
    </row>
    <row r="694" ht="13.5">
      <c r="H694" s="2"/>
    </row>
    <row r="695" ht="13.5">
      <c r="H695" s="2"/>
    </row>
    <row r="696" ht="13.5">
      <c r="H696" s="2"/>
    </row>
    <row r="697" ht="13.5">
      <c r="H697" s="2"/>
    </row>
    <row r="698" ht="13.5">
      <c r="H698" s="2"/>
    </row>
    <row r="699" ht="13.5">
      <c r="H699" s="2"/>
    </row>
    <row r="700" ht="13.5">
      <c r="H700" s="2"/>
    </row>
    <row r="701" ht="13.5">
      <c r="H701" s="2"/>
    </row>
    <row r="702" ht="13.5">
      <c r="H702" s="2"/>
    </row>
    <row r="703" ht="13.5">
      <c r="H703" s="2"/>
    </row>
    <row r="704" ht="13.5">
      <c r="H704" s="2"/>
    </row>
    <row r="705" ht="13.5">
      <c r="H705" s="2"/>
    </row>
    <row r="706" ht="13.5">
      <c r="H706" s="2"/>
    </row>
    <row r="707" ht="13.5">
      <c r="H707" s="2"/>
    </row>
    <row r="708" ht="13.5">
      <c r="H708" s="2"/>
    </row>
    <row r="709" ht="13.5">
      <c r="H709" s="2"/>
    </row>
    <row r="710" ht="13.5">
      <c r="H710" s="2"/>
    </row>
    <row r="711" ht="13.5">
      <c r="H711" s="2"/>
    </row>
    <row r="712" ht="13.5">
      <c r="H712" s="2"/>
    </row>
    <row r="713" ht="13.5">
      <c r="H713" s="2"/>
    </row>
    <row r="714" ht="13.5">
      <c r="H714" s="2"/>
    </row>
    <row r="715" ht="13.5">
      <c r="H715" s="2"/>
    </row>
    <row r="716" ht="13.5">
      <c r="H716" s="2"/>
    </row>
    <row r="717" ht="13.5">
      <c r="H717" s="2"/>
    </row>
    <row r="718" ht="13.5">
      <c r="H718" s="2"/>
    </row>
    <row r="719" ht="13.5">
      <c r="H719" s="2"/>
    </row>
    <row r="720" ht="13.5">
      <c r="H720" s="2"/>
    </row>
    <row r="721" ht="13.5">
      <c r="H721" s="2"/>
    </row>
    <row r="722" ht="13.5">
      <c r="H722" s="2"/>
    </row>
    <row r="723" ht="13.5">
      <c r="H723" s="2"/>
    </row>
    <row r="724" ht="13.5">
      <c r="H724" s="2"/>
    </row>
    <row r="725" ht="13.5">
      <c r="H725" s="2"/>
    </row>
    <row r="726" ht="13.5">
      <c r="H726" s="2"/>
    </row>
    <row r="727" ht="13.5">
      <c r="H727" s="2"/>
    </row>
    <row r="728" ht="13.5">
      <c r="H728" s="2"/>
    </row>
    <row r="729" ht="13.5">
      <c r="H729" s="2"/>
    </row>
    <row r="730" ht="13.5">
      <c r="H730" s="2"/>
    </row>
    <row r="731" ht="13.5">
      <c r="H731" s="2"/>
    </row>
    <row r="732" ht="13.5">
      <c r="H732" s="2"/>
    </row>
    <row r="733" ht="13.5">
      <c r="H733" s="2"/>
    </row>
    <row r="734" ht="13.5">
      <c r="H734" s="2"/>
    </row>
    <row r="735" ht="13.5">
      <c r="H735" s="2"/>
    </row>
    <row r="736" ht="13.5">
      <c r="H736" s="2"/>
    </row>
    <row r="737" ht="13.5">
      <c r="H737" s="2"/>
    </row>
    <row r="738" ht="13.5">
      <c r="H738" s="2"/>
    </row>
    <row r="739" ht="13.5">
      <c r="H739" s="2"/>
    </row>
    <row r="740" ht="13.5">
      <c r="H740" s="2"/>
    </row>
    <row r="741" ht="13.5">
      <c r="H741" s="2"/>
    </row>
    <row r="742" ht="13.5">
      <c r="H742" s="2"/>
    </row>
    <row r="743" ht="13.5">
      <c r="H743" s="2"/>
    </row>
    <row r="744" ht="13.5">
      <c r="H744" s="2"/>
    </row>
    <row r="745" ht="13.5">
      <c r="H745" s="2"/>
    </row>
    <row r="746" ht="13.5">
      <c r="H746" s="2"/>
    </row>
    <row r="747" ht="13.5">
      <c r="H747" s="2"/>
    </row>
    <row r="748" ht="13.5">
      <c r="H748" s="2"/>
    </row>
    <row r="749" ht="13.5">
      <c r="H749" s="2"/>
    </row>
    <row r="750" ht="13.5">
      <c r="H750" s="2"/>
    </row>
    <row r="751" ht="13.5">
      <c r="H751" s="2"/>
    </row>
    <row r="752" ht="13.5">
      <c r="H752" s="2"/>
    </row>
    <row r="753" ht="13.5">
      <c r="H753" s="2"/>
    </row>
    <row r="754" ht="13.5">
      <c r="H754" s="2"/>
    </row>
    <row r="755" ht="13.5">
      <c r="H755" s="2"/>
    </row>
    <row r="756" ht="13.5">
      <c r="H756" s="2"/>
    </row>
    <row r="757" ht="13.5">
      <c r="H757" s="2"/>
    </row>
    <row r="758" ht="13.5">
      <c r="H758" s="2"/>
    </row>
    <row r="759" ht="13.5">
      <c r="H759" s="2"/>
    </row>
    <row r="760" ht="13.5">
      <c r="H760" s="2"/>
    </row>
    <row r="761" ht="13.5">
      <c r="H761" s="2"/>
    </row>
    <row r="762" ht="13.5">
      <c r="H762" s="2"/>
    </row>
    <row r="763" ht="13.5">
      <c r="H763" s="2"/>
    </row>
    <row r="764" ht="13.5">
      <c r="H764" s="2"/>
    </row>
    <row r="765" ht="13.5">
      <c r="H765" s="2"/>
    </row>
    <row r="766" ht="13.5">
      <c r="H766" s="2"/>
    </row>
    <row r="767" ht="13.5">
      <c r="H767" s="2"/>
    </row>
    <row r="768" ht="13.5">
      <c r="H768" s="2"/>
    </row>
    <row r="769" ht="13.5">
      <c r="H769" s="2"/>
    </row>
    <row r="770" ht="13.5">
      <c r="H770" s="2"/>
    </row>
    <row r="771" ht="13.5">
      <c r="H771" s="2"/>
    </row>
    <row r="772" ht="13.5">
      <c r="H772" s="2"/>
    </row>
    <row r="773" ht="13.5">
      <c r="H773" s="2"/>
    </row>
    <row r="774" ht="13.5">
      <c r="H774" s="2"/>
    </row>
    <row r="775" ht="13.5">
      <c r="H775" s="2"/>
    </row>
    <row r="776" ht="13.5">
      <c r="H776" s="2"/>
    </row>
    <row r="777" ht="13.5">
      <c r="H777" s="2"/>
    </row>
    <row r="778" ht="13.5">
      <c r="H778" s="2"/>
    </row>
    <row r="779" ht="13.5">
      <c r="H779" s="2"/>
    </row>
    <row r="780" ht="13.5">
      <c r="H780" s="2"/>
    </row>
    <row r="781" ht="13.5">
      <c r="H781" s="2"/>
    </row>
    <row r="782" ht="13.5">
      <c r="H782" s="2"/>
    </row>
    <row r="783" ht="13.5">
      <c r="H783" s="2"/>
    </row>
    <row r="784" ht="13.5">
      <c r="H784" s="2"/>
    </row>
    <row r="785" ht="13.5">
      <c r="H785" s="2"/>
    </row>
    <row r="786" ht="13.5">
      <c r="H786" s="2"/>
    </row>
    <row r="787" ht="13.5">
      <c r="H787" s="2"/>
    </row>
    <row r="788" ht="13.5">
      <c r="H788" s="2"/>
    </row>
    <row r="789" ht="13.5">
      <c r="H789" s="2"/>
    </row>
    <row r="790" ht="13.5">
      <c r="H790" s="2"/>
    </row>
    <row r="791" ht="13.5">
      <c r="H791" s="2"/>
    </row>
    <row r="792" ht="13.5">
      <c r="H792" s="2"/>
    </row>
    <row r="793" ht="13.5">
      <c r="H793" s="2"/>
    </row>
    <row r="794" ht="13.5">
      <c r="H794" s="2"/>
    </row>
    <row r="795" ht="13.5">
      <c r="H795" s="2"/>
    </row>
    <row r="796" ht="13.5">
      <c r="H796" s="2"/>
    </row>
    <row r="797" ht="13.5">
      <c r="H797" s="2"/>
    </row>
    <row r="798" ht="13.5">
      <c r="H798" s="2"/>
    </row>
    <row r="799" ht="13.5">
      <c r="H799" s="2"/>
    </row>
    <row r="800" ht="13.5">
      <c r="H800" s="2"/>
    </row>
    <row r="801" ht="13.5">
      <c r="H801" s="2"/>
    </row>
    <row r="802" ht="13.5">
      <c r="H802" s="2"/>
    </row>
    <row r="803" ht="13.5">
      <c r="H803" s="2"/>
    </row>
    <row r="804" ht="13.5">
      <c r="H804" s="2"/>
    </row>
    <row r="805" ht="13.5">
      <c r="H805" s="2"/>
    </row>
    <row r="806" ht="13.5">
      <c r="H806" s="2"/>
    </row>
    <row r="807" ht="13.5">
      <c r="H807" s="2"/>
    </row>
    <row r="808" ht="13.5">
      <c r="H808" s="2"/>
    </row>
    <row r="809" ht="13.5">
      <c r="H809" s="2"/>
    </row>
    <row r="810" ht="13.5">
      <c r="H810" s="2"/>
    </row>
    <row r="811" ht="13.5">
      <c r="H811" s="2"/>
    </row>
    <row r="812" ht="13.5">
      <c r="H812" s="2"/>
    </row>
    <row r="813" ht="13.5">
      <c r="H813" s="2"/>
    </row>
    <row r="814" ht="13.5">
      <c r="H814" s="2"/>
    </row>
    <row r="815" ht="13.5">
      <c r="H815" s="2"/>
    </row>
    <row r="816" ht="13.5">
      <c r="H816" s="2"/>
    </row>
    <row r="817" ht="13.5">
      <c r="H817" s="2"/>
    </row>
    <row r="818" ht="13.5">
      <c r="H818" s="2"/>
    </row>
    <row r="819" ht="13.5">
      <c r="H819" s="2"/>
    </row>
    <row r="820" ht="13.5">
      <c r="H820" s="2"/>
    </row>
    <row r="821" ht="13.5">
      <c r="H821" s="2"/>
    </row>
    <row r="822" ht="13.5">
      <c r="H822" s="2"/>
    </row>
    <row r="823" ht="13.5">
      <c r="H823" s="2"/>
    </row>
    <row r="824" ht="13.5">
      <c r="H824" s="2"/>
    </row>
    <row r="825" ht="13.5">
      <c r="H825" s="2"/>
    </row>
    <row r="826" ht="13.5">
      <c r="H826" s="2"/>
    </row>
    <row r="827" ht="13.5">
      <c r="H827" s="2"/>
    </row>
    <row r="828" ht="13.5">
      <c r="H828" s="2"/>
    </row>
    <row r="829" ht="13.5">
      <c r="H829" s="2"/>
    </row>
    <row r="830" ht="13.5">
      <c r="H830" s="2"/>
    </row>
    <row r="831" ht="13.5">
      <c r="H831" s="2"/>
    </row>
    <row r="832" ht="13.5">
      <c r="H832" s="2"/>
    </row>
    <row r="833" ht="13.5">
      <c r="H833" s="2"/>
    </row>
    <row r="834" ht="13.5">
      <c r="H834" s="2"/>
    </row>
    <row r="835" ht="13.5">
      <c r="H835" s="2"/>
    </row>
    <row r="836" ht="13.5">
      <c r="H836" s="2"/>
    </row>
    <row r="837" ht="13.5">
      <c r="H837" s="2"/>
    </row>
    <row r="838" ht="13.5">
      <c r="H838" s="2"/>
    </row>
    <row r="839" ht="13.5">
      <c r="H839" s="2"/>
    </row>
    <row r="840" ht="13.5">
      <c r="H840" s="2"/>
    </row>
    <row r="841" ht="13.5">
      <c r="H841" s="2"/>
    </row>
    <row r="842" ht="13.5">
      <c r="H842" s="2"/>
    </row>
    <row r="843" ht="13.5">
      <c r="H843" s="2"/>
    </row>
    <row r="844" ht="13.5">
      <c r="H844" s="2"/>
    </row>
    <row r="845" ht="13.5">
      <c r="H845" s="2"/>
    </row>
    <row r="846" ht="13.5">
      <c r="H846" s="2"/>
    </row>
    <row r="847" ht="13.5">
      <c r="H847" s="2"/>
    </row>
    <row r="848" ht="13.5">
      <c r="H848" s="2"/>
    </row>
    <row r="849" ht="13.5">
      <c r="H849" s="2"/>
    </row>
    <row r="850" ht="13.5">
      <c r="H850" s="2"/>
    </row>
    <row r="851" ht="13.5">
      <c r="H851" s="2"/>
    </row>
    <row r="852" ht="13.5">
      <c r="H852" s="2"/>
    </row>
    <row r="853" ht="13.5">
      <c r="H853" s="2"/>
    </row>
    <row r="854" ht="13.5">
      <c r="H854" s="2"/>
    </row>
    <row r="855" ht="13.5">
      <c r="H855" s="2"/>
    </row>
    <row r="856" ht="13.5">
      <c r="H856" s="2"/>
    </row>
    <row r="857" ht="13.5">
      <c r="H857" s="2"/>
    </row>
    <row r="858" ht="13.5">
      <c r="H858" s="2"/>
    </row>
    <row r="859" ht="13.5">
      <c r="H859" s="2"/>
    </row>
    <row r="860" ht="13.5">
      <c r="H860" s="2"/>
    </row>
    <row r="861" ht="13.5">
      <c r="H861" s="2"/>
    </row>
    <row r="862" ht="13.5">
      <c r="H862" s="2"/>
    </row>
    <row r="863" ht="13.5">
      <c r="H863" s="2"/>
    </row>
    <row r="864" ht="13.5">
      <c r="H864" s="2"/>
    </row>
    <row r="865" ht="13.5">
      <c r="H865" s="2"/>
    </row>
    <row r="866" ht="13.5">
      <c r="H866" s="2"/>
    </row>
    <row r="867" ht="13.5">
      <c r="H867" s="2"/>
    </row>
    <row r="868" ht="13.5">
      <c r="H868" s="2"/>
    </row>
    <row r="869" ht="13.5">
      <c r="H869" s="2"/>
    </row>
    <row r="870" ht="13.5">
      <c r="H870" s="2"/>
    </row>
    <row r="871" ht="13.5">
      <c r="H871" s="2"/>
    </row>
    <row r="872" ht="13.5">
      <c r="H872" s="2"/>
    </row>
    <row r="873" ht="13.5">
      <c r="H873" s="2"/>
    </row>
    <row r="874" ht="13.5">
      <c r="H874" s="2"/>
    </row>
    <row r="875" ht="13.5">
      <c r="H875" s="2"/>
    </row>
    <row r="876" ht="13.5">
      <c r="H876" s="2"/>
    </row>
    <row r="877" ht="13.5">
      <c r="H877" s="2"/>
    </row>
    <row r="878" ht="13.5">
      <c r="H878" s="2"/>
    </row>
    <row r="879" ht="13.5">
      <c r="H879" s="2"/>
    </row>
    <row r="880" ht="13.5">
      <c r="H880" s="2"/>
    </row>
    <row r="881" ht="13.5">
      <c r="H881" s="2"/>
    </row>
    <row r="882" ht="13.5">
      <c r="H882" s="2"/>
    </row>
    <row r="883" ht="13.5">
      <c r="H883" s="2"/>
    </row>
    <row r="884" ht="13.5">
      <c r="H884" s="2"/>
    </row>
    <row r="885" ht="13.5">
      <c r="H885" s="2"/>
    </row>
    <row r="886" ht="13.5">
      <c r="H886" s="2"/>
    </row>
    <row r="887" ht="13.5">
      <c r="H887" s="2"/>
    </row>
    <row r="888" ht="13.5">
      <c r="H888" s="2"/>
    </row>
    <row r="889" ht="13.5">
      <c r="H889" s="2"/>
    </row>
    <row r="890" ht="13.5">
      <c r="H890" s="2"/>
    </row>
    <row r="891" ht="13.5">
      <c r="H891" s="2"/>
    </row>
    <row r="892" ht="13.5">
      <c r="H892" s="2"/>
    </row>
    <row r="893" ht="13.5">
      <c r="H893" s="2"/>
    </row>
    <row r="894" ht="13.5">
      <c r="H894" s="2"/>
    </row>
    <row r="895" ht="13.5">
      <c r="H895" s="2"/>
    </row>
    <row r="896" ht="13.5">
      <c r="H896" s="2"/>
    </row>
    <row r="897" ht="13.5">
      <c r="H897" s="2"/>
    </row>
    <row r="898" ht="13.5">
      <c r="H898" s="2"/>
    </row>
    <row r="899" ht="13.5">
      <c r="H899" s="2"/>
    </row>
    <row r="900" ht="13.5">
      <c r="H900" s="2"/>
    </row>
    <row r="901" ht="13.5">
      <c r="H901" s="2"/>
    </row>
    <row r="902" ht="13.5">
      <c r="H902" s="2"/>
    </row>
    <row r="903" ht="13.5">
      <c r="H903" s="2"/>
    </row>
    <row r="904" ht="13.5">
      <c r="H904" s="2"/>
    </row>
    <row r="905" ht="13.5">
      <c r="H905" s="2"/>
    </row>
    <row r="906" ht="13.5">
      <c r="H906" s="2"/>
    </row>
    <row r="907" ht="13.5">
      <c r="H907" s="2"/>
    </row>
    <row r="908" ht="13.5">
      <c r="H908" s="2"/>
    </row>
    <row r="909" ht="13.5">
      <c r="H909" s="2"/>
    </row>
    <row r="910" ht="13.5">
      <c r="H910" s="2"/>
    </row>
    <row r="911" ht="13.5">
      <c r="H911" s="2"/>
    </row>
    <row r="912" ht="13.5">
      <c r="H912" s="2"/>
    </row>
    <row r="913" ht="13.5">
      <c r="H913" s="2"/>
    </row>
    <row r="914" ht="13.5">
      <c r="H914" s="2"/>
    </row>
    <row r="915" ht="13.5">
      <c r="H915" s="2"/>
    </row>
    <row r="916" ht="13.5">
      <c r="H916" s="2"/>
    </row>
    <row r="917" ht="13.5">
      <c r="H917" s="2"/>
    </row>
    <row r="918" ht="13.5">
      <c r="H918" s="2"/>
    </row>
    <row r="919" ht="13.5">
      <c r="H919" s="2"/>
    </row>
    <row r="920" ht="13.5">
      <c r="H920" s="2"/>
    </row>
    <row r="921" ht="13.5">
      <c r="H921" s="2"/>
    </row>
    <row r="922" ht="13.5">
      <c r="H922" s="2"/>
    </row>
    <row r="923" ht="13.5">
      <c r="H923" s="2"/>
    </row>
    <row r="924" ht="13.5">
      <c r="H924" s="2"/>
    </row>
    <row r="925" ht="13.5">
      <c r="H925" s="2"/>
    </row>
    <row r="926" ht="13.5">
      <c r="H926" s="2"/>
    </row>
    <row r="927" ht="13.5">
      <c r="H927" s="2"/>
    </row>
    <row r="928" ht="13.5">
      <c r="H928" s="2"/>
    </row>
    <row r="929" ht="13.5">
      <c r="H929" s="2"/>
    </row>
    <row r="930" ht="13.5">
      <c r="H930" s="2"/>
    </row>
    <row r="931" ht="13.5">
      <c r="H931" s="2"/>
    </row>
    <row r="932" ht="13.5">
      <c r="H932" s="2"/>
    </row>
    <row r="933" ht="13.5">
      <c r="H933" s="2"/>
    </row>
    <row r="934" ht="13.5">
      <c r="H934" s="2"/>
    </row>
    <row r="935" ht="13.5">
      <c r="H935" s="2"/>
    </row>
    <row r="936" ht="13.5">
      <c r="H936" s="2"/>
    </row>
    <row r="937" ht="13.5">
      <c r="H937" s="2"/>
    </row>
    <row r="938" ht="13.5">
      <c r="H938" s="2"/>
    </row>
    <row r="939" ht="13.5">
      <c r="H939" s="2"/>
    </row>
    <row r="940" ht="13.5">
      <c r="H940" s="2"/>
    </row>
    <row r="941" ht="13.5">
      <c r="H941" s="2"/>
    </row>
    <row r="942" ht="13.5">
      <c r="H942" s="2"/>
    </row>
    <row r="943" ht="13.5">
      <c r="H943" s="2"/>
    </row>
    <row r="944" ht="13.5">
      <c r="H944" s="2"/>
    </row>
    <row r="945" ht="13.5">
      <c r="H945" s="2"/>
    </row>
    <row r="946" ht="13.5">
      <c r="H946" s="2"/>
    </row>
    <row r="947" ht="13.5">
      <c r="H947" s="2"/>
    </row>
    <row r="948" ht="13.5">
      <c r="H948" s="2"/>
    </row>
    <row r="949" ht="13.5">
      <c r="H949" s="2"/>
    </row>
    <row r="950" ht="13.5">
      <c r="H950" s="2"/>
    </row>
    <row r="951" ht="13.5">
      <c r="H951" s="2"/>
    </row>
    <row r="952" ht="13.5">
      <c r="H952" s="2"/>
    </row>
    <row r="953" ht="13.5">
      <c r="H953" s="2"/>
    </row>
    <row r="954" ht="13.5">
      <c r="H954" s="2"/>
    </row>
    <row r="955" ht="13.5">
      <c r="H955" s="2"/>
    </row>
    <row r="956" ht="13.5">
      <c r="H956" s="2"/>
    </row>
    <row r="957" ht="13.5">
      <c r="H957" s="2"/>
    </row>
    <row r="958" ht="13.5">
      <c r="H958" s="2"/>
    </row>
    <row r="959" ht="13.5">
      <c r="H959" s="2"/>
    </row>
    <row r="960" ht="13.5">
      <c r="H960" s="2"/>
    </row>
    <row r="961" ht="13.5">
      <c r="H961" s="2"/>
    </row>
    <row r="962" ht="13.5">
      <c r="H962" s="2"/>
    </row>
    <row r="963" ht="13.5">
      <c r="H963" s="2"/>
    </row>
    <row r="964" ht="13.5">
      <c r="H964" s="2"/>
    </row>
    <row r="965" ht="13.5">
      <c r="H965" s="2"/>
    </row>
    <row r="966" ht="13.5">
      <c r="H966" s="2"/>
    </row>
    <row r="967" ht="13.5">
      <c r="H967" s="2"/>
    </row>
    <row r="968" ht="13.5">
      <c r="H968" s="2"/>
    </row>
    <row r="969" ht="13.5">
      <c r="H969" s="2"/>
    </row>
    <row r="970" ht="13.5">
      <c r="H970" s="2"/>
    </row>
    <row r="971" ht="13.5">
      <c r="H971" s="2"/>
    </row>
    <row r="972" ht="13.5">
      <c r="H972" s="2"/>
    </row>
    <row r="973" ht="13.5">
      <c r="H973" s="2"/>
    </row>
    <row r="974" ht="13.5">
      <c r="H974" s="2"/>
    </row>
    <row r="975" ht="13.5">
      <c r="H975" s="2"/>
    </row>
    <row r="976" ht="13.5">
      <c r="H976" s="2"/>
    </row>
    <row r="977" ht="13.5">
      <c r="H977" s="2"/>
    </row>
    <row r="978" ht="13.5">
      <c r="H978" s="2"/>
    </row>
    <row r="979" ht="13.5">
      <c r="H979" s="2"/>
    </row>
    <row r="980" ht="13.5">
      <c r="H980" s="2"/>
    </row>
    <row r="981" ht="13.5">
      <c r="H981" s="2"/>
    </row>
    <row r="982" ht="13.5">
      <c r="H982" s="2"/>
    </row>
    <row r="983" ht="13.5">
      <c r="H983" s="2"/>
    </row>
    <row r="984" ht="13.5">
      <c r="H984" s="2"/>
    </row>
    <row r="985" ht="13.5">
      <c r="H985" s="2"/>
    </row>
    <row r="986" ht="13.5">
      <c r="H986" s="2"/>
    </row>
    <row r="987" ht="13.5">
      <c r="H987" s="2"/>
    </row>
    <row r="988" ht="13.5">
      <c r="H988" s="2"/>
    </row>
    <row r="989" ht="13.5">
      <c r="H989" s="2"/>
    </row>
    <row r="990" ht="13.5">
      <c r="H990" s="2"/>
    </row>
    <row r="991" ht="13.5">
      <c r="H991" s="2"/>
    </row>
    <row r="992" ht="13.5">
      <c r="H992" s="2"/>
    </row>
    <row r="993" ht="13.5">
      <c r="H993" s="2"/>
    </row>
    <row r="994" ht="13.5">
      <c r="H994" s="2"/>
    </row>
    <row r="995" ht="13.5">
      <c r="H995" s="2"/>
    </row>
    <row r="996" ht="13.5">
      <c r="H996" s="2"/>
    </row>
    <row r="997" ht="13.5">
      <c r="H997" s="2"/>
    </row>
    <row r="998" ht="13.5">
      <c r="H998" s="2"/>
    </row>
    <row r="999" ht="13.5">
      <c r="H999" s="2"/>
    </row>
    <row r="1000" ht="13.5">
      <c r="H1000" s="2"/>
    </row>
    <row r="1001" ht="13.5">
      <c r="H1001" s="2"/>
    </row>
    <row r="1002" ht="13.5">
      <c r="H1002" s="2"/>
    </row>
    <row r="1003" ht="13.5">
      <c r="H1003" s="2"/>
    </row>
    <row r="1004" ht="13.5">
      <c r="H1004" s="2"/>
    </row>
    <row r="1005" ht="13.5">
      <c r="H1005" s="2"/>
    </row>
    <row r="1006" ht="13.5">
      <c r="H1006" s="2"/>
    </row>
    <row r="1007" ht="13.5">
      <c r="H1007" s="2"/>
    </row>
    <row r="1008" ht="13.5">
      <c r="H1008" s="2"/>
    </row>
    <row r="1009" ht="13.5">
      <c r="H1009" s="2"/>
    </row>
    <row r="1010" ht="13.5">
      <c r="H1010" s="2"/>
    </row>
    <row r="1011" ht="13.5">
      <c r="H1011" s="2"/>
    </row>
    <row r="1012" ht="13.5">
      <c r="H1012" s="2"/>
    </row>
    <row r="1013" ht="13.5">
      <c r="H1013" s="2"/>
    </row>
    <row r="1014" ht="13.5">
      <c r="H1014" s="2"/>
    </row>
    <row r="1015" ht="13.5">
      <c r="H1015" s="2"/>
    </row>
    <row r="1016" ht="13.5">
      <c r="H1016" s="2"/>
    </row>
    <row r="1017" ht="13.5">
      <c r="H1017" s="2"/>
    </row>
    <row r="1018" ht="13.5">
      <c r="H1018" s="2"/>
    </row>
    <row r="1019" ht="13.5">
      <c r="H1019" s="2"/>
    </row>
    <row r="1020" ht="13.5">
      <c r="H1020" s="2"/>
    </row>
    <row r="1021" ht="13.5">
      <c r="H1021" s="2"/>
    </row>
    <row r="1022" ht="13.5">
      <c r="H1022" s="2"/>
    </row>
    <row r="1023" ht="13.5">
      <c r="H1023" s="2"/>
    </row>
    <row r="1024" ht="13.5">
      <c r="H1024" s="2"/>
    </row>
    <row r="1025" ht="13.5">
      <c r="H1025" s="2"/>
    </row>
    <row r="1026" ht="13.5">
      <c r="H1026" s="2"/>
    </row>
    <row r="1027" ht="13.5">
      <c r="H1027" s="2"/>
    </row>
    <row r="1028" ht="13.5">
      <c r="H1028" s="2"/>
    </row>
    <row r="1029" ht="13.5">
      <c r="H1029" s="2"/>
    </row>
    <row r="1030" ht="13.5">
      <c r="H1030" s="2"/>
    </row>
    <row r="1031" ht="13.5">
      <c r="H1031" s="2"/>
    </row>
    <row r="1032" ht="13.5">
      <c r="H1032" s="2"/>
    </row>
    <row r="1033" ht="13.5">
      <c r="H1033" s="2"/>
    </row>
    <row r="1034" ht="13.5">
      <c r="H1034" s="2"/>
    </row>
    <row r="1035" ht="13.5">
      <c r="H1035" s="2"/>
    </row>
    <row r="1036" ht="13.5">
      <c r="H1036" s="2"/>
    </row>
    <row r="1037" ht="13.5">
      <c r="H1037" s="2"/>
    </row>
    <row r="1038" ht="13.5">
      <c r="H1038" s="2"/>
    </row>
    <row r="1039" ht="13.5">
      <c r="H1039" s="2"/>
    </row>
    <row r="1040" ht="13.5">
      <c r="H1040" s="2"/>
    </row>
    <row r="1041" ht="13.5">
      <c r="H1041" s="2"/>
    </row>
    <row r="1042" ht="13.5">
      <c r="H1042" s="2"/>
    </row>
    <row r="1043" ht="13.5">
      <c r="H1043" s="2"/>
    </row>
    <row r="1044" ht="13.5">
      <c r="H1044" s="2"/>
    </row>
    <row r="1045" ht="13.5">
      <c r="H1045" s="2"/>
    </row>
    <row r="1046" ht="13.5">
      <c r="H1046" s="2"/>
    </row>
    <row r="1047" ht="13.5">
      <c r="H1047" s="2"/>
    </row>
    <row r="1048" ht="13.5">
      <c r="H1048" s="2"/>
    </row>
    <row r="1049" ht="13.5">
      <c r="H1049" s="2"/>
    </row>
    <row r="1050" ht="13.5">
      <c r="H1050" s="2"/>
    </row>
    <row r="1051" ht="13.5">
      <c r="H1051" s="2"/>
    </row>
    <row r="1052" ht="13.5">
      <c r="H1052" s="2"/>
    </row>
    <row r="1053" ht="13.5">
      <c r="H1053" s="2"/>
    </row>
    <row r="1054" ht="13.5">
      <c r="H1054" s="2"/>
    </row>
    <row r="1055" ht="13.5">
      <c r="H1055" s="2"/>
    </row>
    <row r="1056" ht="13.5">
      <c r="H1056" s="2"/>
    </row>
    <row r="1057" ht="13.5">
      <c r="H1057" s="2"/>
    </row>
    <row r="1058" ht="13.5">
      <c r="H1058" s="2"/>
    </row>
    <row r="1059" ht="13.5">
      <c r="H1059" s="2"/>
    </row>
    <row r="1060" ht="13.5">
      <c r="H1060" s="2"/>
    </row>
    <row r="1061" ht="13.5">
      <c r="H1061" s="2"/>
    </row>
    <row r="1062" ht="13.5">
      <c r="H1062" s="2"/>
    </row>
    <row r="1063" ht="13.5">
      <c r="H1063" s="2"/>
    </row>
    <row r="1064" ht="13.5">
      <c r="H1064" s="2"/>
    </row>
    <row r="1065" ht="13.5">
      <c r="H1065" s="2"/>
    </row>
    <row r="1066" ht="13.5">
      <c r="H1066" s="2"/>
    </row>
    <row r="1067" ht="13.5">
      <c r="H1067" s="2"/>
    </row>
    <row r="1068" ht="13.5">
      <c r="H1068" s="2"/>
    </row>
    <row r="1069" ht="13.5">
      <c r="H1069" s="2"/>
    </row>
    <row r="1070" ht="13.5">
      <c r="H1070" s="2"/>
    </row>
    <row r="1071" ht="13.5">
      <c r="H1071" s="2"/>
    </row>
    <row r="1072" ht="13.5">
      <c r="H1072" s="2"/>
    </row>
    <row r="1073" ht="13.5">
      <c r="H1073" s="2"/>
    </row>
    <row r="1074" ht="13.5">
      <c r="H1074" s="2"/>
    </row>
    <row r="1075" ht="13.5">
      <c r="H1075" s="2"/>
    </row>
    <row r="1076" ht="13.5">
      <c r="H1076" s="2"/>
    </row>
    <row r="1077" ht="13.5">
      <c r="H1077" s="2"/>
    </row>
    <row r="1078" ht="13.5">
      <c r="H1078" s="2"/>
    </row>
    <row r="1079" ht="13.5">
      <c r="H1079" s="2"/>
    </row>
    <row r="1080" ht="13.5">
      <c r="H1080" s="2"/>
    </row>
    <row r="1081" ht="13.5">
      <c r="H1081" s="2"/>
    </row>
    <row r="1082" ht="13.5">
      <c r="H1082" s="2"/>
    </row>
    <row r="1083" ht="13.5">
      <c r="H1083" s="2"/>
    </row>
    <row r="1084" ht="13.5">
      <c r="H1084" s="2"/>
    </row>
    <row r="1085" ht="13.5">
      <c r="H1085" s="2"/>
    </row>
    <row r="1086" ht="13.5">
      <c r="H1086" s="2"/>
    </row>
    <row r="1087" ht="13.5">
      <c r="H1087" s="2"/>
    </row>
    <row r="1088" ht="13.5">
      <c r="H1088" s="2"/>
    </row>
    <row r="1089" ht="13.5">
      <c r="H1089" s="2"/>
    </row>
    <row r="1090" ht="13.5">
      <c r="H1090" s="2"/>
    </row>
    <row r="1091" ht="13.5">
      <c r="H1091" s="2"/>
    </row>
    <row r="1092" ht="13.5">
      <c r="H1092" s="2"/>
    </row>
    <row r="1093" ht="13.5">
      <c r="H1093" s="2"/>
    </row>
    <row r="1094" ht="13.5">
      <c r="H1094" s="2"/>
    </row>
    <row r="1095" ht="13.5">
      <c r="H1095" s="2"/>
    </row>
    <row r="1096" ht="13.5">
      <c r="H1096" s="2"/>
    </row>
    <row r="1097" ht="13.5">
      <c r="H1097" s="2"/>
    </row>
    <row r="1098" ht="13.5">
      <c r="H1098" s="2"/>
    </row>
    <row r="1099" ht="13.5">
      <c r="H1099" s="2"/>
    </row>
    <row r="1100" ht="13.5">
      <c r="H1100" s="2"/>
    </row>
    <row r="1101" ht="13.5">
      <c r="H1101" s="2"/>
    </row>
    <row r="1102" ht="13.5">
      <c r="H1102" s="2"/>
    </row>
    <row r="1103" ht="13.5">
      <c r="H1103" s="2"/>
    </row>
    <row r="1104" ht="13.5">
      <c r="H1104" s="2"/>
    </row>
    <row r="1105" ht="13.5">
      <c r="H1105" s="2"/>
    </row>
    <row r="1106" ht="13.5">
      <c r="H1106" s="2"/>
    </row>
    <row r="1107" ht="13.5">
      <c r="H1107" s="2"/>
    </row>
    <row r="1108" ht="13.5">
      <c r="H1108" s="2"/>
    </row>
    <row r="1109" ht="13.5">
      <c r="H1109" s="2"/>
    </row>
    <row r="1110" ht="13.5">
      <c r="H1110" s="2"/>
    </row>
    <row r="1111" ht="13.5">
      <c r="H1111" s="2"/>
    </row>
    <row r="1112" ht="13.5">
      <c r="H1112" s="2"/>
    </row>
    <row r="1113" ht="13.5">
      <c r="H1113" s="2"/>
    </row>
    <row r="1114" ht="13.5">
      <c r="H1114" s="2"/>
    </row>
    <row r="1115" ht="13.5">
      <c r="H1115" s="2"/>
    </row>
    <row r="1116" ht="13.5">
      <c r="H1116" s="2"/>
    </row>
    <row r="1117" ht="13.5">
      <c r="H1117" s="2"/>
    </row>
    <row r="1118" ht="13.5">
      <c r="H1118" s="2"/>
    </row>
    <row r="1119" ht="13.5">
      <c r="H1119" s="2"/>
    </row>
    <row r="1120" ht="13.5">
      <c r="H1120" s="2"/>
    </row>
    <row r="1121" ht="13.5">
      <c r="H1121" s="2"/>
    </row>
    <row r="1122" ht="13.5">
      <c r="H1122" s="2"/>
    </row>
    <row r="1123" ht="13.5">
      <c r="H1123" s="2"/>
    </row>
    <row r="1124" ht="13.5">
      <c r="H1124" s="2"/>
    </row>
    <row r="1125" ht="13.5">
      <c r="H1125" s="2"/>
    </row>
    <row r="1126" ht="13.5">
      <c r="H1126" s="2"/>
    </row>
    <row r="1127" ht="13.5">
      <c r="H1127" s="2"/>
    </row>
    <row r="1128" ht="13.5">
      <c r="H1128" s="2"/>
    </row>
    <row r="1129" ht="13.5">
      <c r="H1129" s="2"/>
    </row>
    <row r="1130" ht="13.5">
      <c r="H1130" s="2"/>
    </row>
    <row r="1131" ht="13.5">
      <c r="H1131" s="2"/>
    </row>
    <row r="1132" ht="13.5">
      <c r="H1132" s="2"/>
    </row>
    <row r="1133" ht="13.5">
      <c r="H1133" s="2"/>
    </row>
    <row r="1134" ht="13.5">
      <c r="H1134" s="2"/>
    </row>
    <row r="1135" ht="13.5">
      <c r="H1135" s="2"/>
    </row>
    <row r="1136" ht="13.5">
      <c r="H1136" s="2"/>
    </row>
    <row r="1137" ht="13.5">
      <c r="H1137" s="2"/>
    </row>
    <row r="1138" ht="13.5">
      <c r="H1138" s="2"/>
    </row>
    <row r="1139" ht="13.5">
      <c r="H1139" s="2"/>
    </row>
    <row r="1140" ht="13.5">
      <c r="H1140" s="2"/>
    </row>
    <row r="1141" ht="13.5">
      <c r="H1141" s="2"/>
    </row>
    <row r="1142" ht="13.5">
      <c r="H1142" s="2"/>
    </row>
    <row r="1143" ht="13.5">
      <c r="H1143" s="2"/>
    </row>
    <row r="1144" ht="13.5">
      <c r="H1144" s="2"/>
    </row>
    <row r="1145" ht="13.5">
      <c r="H1145" s="2"/>
    </row>
    <row r="1146" ht="13.5">
      <c r="H1146" s="2"/>
    </row>
    <row r="1147" ht="13.5">
      <c r="H1147" s="2"/>
    </row>
    <row r="1148" ht="13.5">
      <c r="H1148" s="2"/>
    </row>
    <row r="1149" ht="13.5">
      <c r="H1149" s="2"/>
    </row>
    <row r="1150" ht="13.5">
      <c r="H1150" s="2"/>
    </row>
    <row r="1151" ht="13.5">
      <c r="H1151" s="2"/>
    </row>
    <row r="1152" ht="13.5">
      <c r="H1152" s="2"/>
    </row>
    <row r="1153" ht="13.5">
      <c r="H1153" s="2"/>
    </row>
    <row r="1154" ht="13.5">
      <c r="H1154" s="2"/>
    </row>
    <row r="1155" ht="13.5">
      <c r="H1155" s="2"/>
    </row>
    <row r="1156" ht="13.5">
      <c r="H1156" s="2"/>
    </row>
    <row r="1157" ht="13.5">
      <c r="H1157" s="2"/>
    </row>
    <row r="1158" ht="13.5">
      <c r="H1158" s="2"/>
    </row>
    <row r="1159" ht="13.5">
      <c r="H1159" s="2"/>
    </row>
    <row r="1160" ht="13.5">
      <c r="H1160" s="2"/>
    </row>
    <row r="1161" ht="13.5">
      <c r="H1161" s="2"/>
    </row>
    <row r="1162" ht="13.5">
      <c r="H1162" s="2"/>
    </row>
    <row r="1163" ht="13.5">
      <c r="H1163" s="2"/>
    </row>
    <row r="1164" ht="13.5">
      <c r="H1164" s="2"/>
    </row>
    <row r="1165" ht="13.5">
      <c r="H1165" s="2"/>
    </row>
    <row r="1166" ht="13.5">
      <c r="H1166" s="2"/>
    </row>
    <row r="1167" ht="13.5">
      <c r="H1167" s="2"/>
    </row>
    <row r="1168" ht="13.5">
      <c r="H1168" s="2"/>
    </row>
    <row r="1169" ht="13.5">
      <c r="H1169" s="2"/>
    </row>
    <row r="1170" ht="13.5">
      <c r="H1170" s="2"/>
    </row>
    <row r="1171" ht="13.5">
      <c r="H1171" s="2"/>
    </row>
    <row r="1172" ht="13.5">
      <c r="H1172" s="2"/>
    </row>
    <row r="1173" ht="13.5">
      <c r="H1173" s="2"/>
    </row>
    <row r="1174" ht="13.5">
      <c r="H1174" s="2"/>
    </row>
    <row r="1175" ht="13.5">
      <c r="H1175" s="2"/>
    </row>
    <row r="1176" ht="13.5">
      <c r="H1176" s="2"/>
    </row>
    <row r="1177" ht="13.5">
      <c r="H1177" s="2"/>
    </row>
    <row r="1178" ht="13.5">
      <c r="H1178" s="2"/>
    </row>
    <row r="1179" ht="13.5">
      <c r="H1179" s="2"/>
    </row>
    <row r="1180" ht="13.5">
      <c r="H1180" s="2"/>
    </row>
    <row r="1181" ht="13.5">
      <c r="H1181" s="2"/>
    </row>
    <row r="1182" ht="13.5">
      <c r="H1182" s="2"/>
    </row>
    <row r="1183" ht="13.5">
      <c r="H1183" s="2"/>
    </row>
    <row r="1184" ht="13.5">
      <c r="H1184" s="2"/>
    </row>
    <row r="1185" ht="13.5">
      <c r="H1185" s="2"/>
    </row>
    <row r="1186" ht="13.5">
      <c r="H1186" s="2"/>
    </row>
    <row r="1187" ht="13.5">
      <c r="H1187" s="2"/>
    </row>
    <row r="1188" ht="13.5">
      <c r="H1188" s="2"/>
    </row>
    <row r="1189" ht="13.5">
      <c r="H1189" s="2"/>
    </row>
    <row r="1190" ht="13.5">
      <c r="H1190" s="2"/>
    </row>
    <row r="1191" ht="13.5">
      <c r="H1191" s="2"/>
    </row>
    <row r="1192" ht="13.5">
      <c r="H1192" s="2"/>
    </row>
    <row r="1193" ht="13.5">
      <c r="H1193" s="2"/>
    </row>
    <row r="1194" ht="13.5">
      <c r="H1194" s="2"/>
    </row>
    <row r="1195" ht="13.5">
      <c r="H1195" s="2"/>
    </row>
    <row r="1196" ht="13.5">
      <c r="H1196" s="2"/>
    </row>
    <row r="1197" ht="13.5">
      <c r="H1197" s="2"/>
    </row>
    <row r="1198" ht="13.5">
      <c r="H1198" s="2"/>
    </row>
    <row r="1199" ht="13.5">
      <c r="H1199" s="2"/>
    </row>
    <row r="1200" ht="13.5">
      <c r="H1200" s="2"/>
    </row>
    <row r="1201" ht="13.5">
      <c r="H1201" s="2"/>
    </row>
    <row r="1202" ht="13.5">
      <c r="H1202" s="2"/>
    </row>
    <row r="1203" ht="13.5">
      <c r="H1203" s="2"/>
    </row>
    <row r="1204" ht="13.5">
      <c r="H1204" s="2"/>
    </row>
    <row r="1205" ht="13.5">
      <c r="H1205" s="2"/>
    </row>
    <row r="1206" ht="13.5">
      <c r="H1206" s="2"/>
    </row>
    <row r="1207" ht="13.5">
      <c r="H1207" s="2"/>
    </row>
    <row r="1208" ht="13.5">
      <c r="H1208" s="2"/>
    </row>
    <row r="1209" ht="13.5">
      <c r="H1209" s="2"/>
    </row>
    <row r="1210" ht="13.5">
      <c r="H1210" s="2"/>
    </row>
    <row r="1211" ht="13.5">
      <c r="H1211" s="2"/>
    </row>
    <row r="1212" ht="13.5">
      <c r="H1212" s="2"/>
    </row>
    <row r="1213" ht="13.5">
      <c r="H1213" s="2"/>
    </row>
    <row r="1214" ht="13.5">
      <c r="H1214" s="2"/>
    </row>
    <row r="1215" ht="13.5">
      <c r="H1215" s="2"/>
    </row>
    <row r="1216" ht="13.5">
      <c r="H1216" s="2"/>
    </row>
    <row r="1217" ht="13.5">
      <c r="H1217" s="2"/>
    </row>
    <row r="1218" ht="13.5">
      <c r="H1218" s="2"/>
    </row>
    <row r="1219" ht="13.5">
      <c r="H1219" s="2"/>
    </row>
    <row r="1220" ht="13.5">
      <c r="H1220" s="2"/>
    </row>
    <row r="1221" ht="13.5">
      <c r="H1221" s="2"/>
    </row>
    <row r="1222" ht="13.5">
      <c r="H1222" s="2"/>
    </row>
    <row r="1223" ht="13.5">
      <c r="H1223" s="2"/>
    </row>
    <row r="1224" ht="13.5">
      <c r="H1224" s="2"/>
    </row>
    <row r="1225" ht="13.5">
      <c r="H1225" s="2"/>
    </row>
    <row r="1226" ht="13.5">
      <c r="H1226" s="2"/>
    </row>
    <row r="1227" ht="13.5">
      <c r="H1227" s="2"/>
    </row>
    <row r="1228" ht="13.5">
      <c r="H1228" s="2"/>
    </row>
    <row r="1229" ht="13.5">
      <c r="H1229" s="2"/>
    </row>
    <row r="1230" ht="13.5">
      <c r="H1230" s="2"/>
    </row>
    <row r="1231" ht="13.5">
      <c r="H1231" s="2"/>
    </row>
    <row r="1232" ht="13.5">
      <c r="H1232" s="2"/>
    </row>
    <row r="1233" ht="13.5">
      <c r="H1233" s="2"/>
    </row>
    <row r="1234" ht="13.5">
      <c r="H1234" s="2"/>
    </row>
    <row r="1235" ht="13.5">
      <c r="H1235" s="2"/>
    </row>
    <row r="1236" ht="13.5">
      <c r="H1236" s="2"/>
    </row>
    <row r="1237" ht="13.5">
      <c r="H1237" s="2"/>
    </row>
    <row r="1238" ht="13.5">
      <c r="H1238" s="2"/>
    </row>
    <row r="1239" ht="13.5">
      <c r="H1239" s="2"/>
    </row>
    <row r="1240" ht="13.5">
      <c r="H1240" s="2"/>
    </row>
    <row r="1241" ht="13.5">
      <c r="H1241" s="2"/>
    </row>
    <row r="1242" ht="13.5">
      <c r="H1242" s="2"/>
    </row>
    <row r="1243" ht="13.5">
      <c r="H1243" s="2"/>
    </row>
    <row r="1244" ht="13.5">
      <c r="H1244" s="2"/>
    </row>
    <row r="1245" ht="13.5">
      <c r="H1245" s="2"/>
    </row>
    <row r="1246" ht="13.5">
      <c r="H1246" s="2"/>
    </row>
    <row r="1247" ht="13.5">
      <c r="H1247" s="2"/>
    </row>
    <row r="1248" ht="13.5">
      <c r="H1248" s="2"/>
    </row>
    <row r="1249" ht="13.5">
      <c r="H1249" s="2"/>
    </row>
    <row r="1250" ht="13.5">
      <c r="H1250" s="2"/>
    </row>
    <row r="1251" ht="13.5">
      <c r="H1251" s="2"/>
    </row>
    <row r="1252" ht="13.5">
      <c r="H1252" s="2"/>
    </row>
  </sheetData>
  <sheetProtection/>
  <mergeCells count="9">
    <mergeCell ref="H5:I5"/>
    <mergeCell ref="H6:I6"/>
    <mergeCell ref="H7:I7"/>
    <mergeCell ref="A1:B1"/>
    <mergeCell ref="A3:A4"/>
    <mergeCell ref="B3:B4"/>
    <mergeCell ref="C3:C4"/>
    <mergeCell ref="F3:G3"/>
    <mergeCell ref="H3:I4"/>
  </mergeCells>
  <printOptions/>
  <pageMargins left="1.141732283464567" right="0.31496062992125984" top="0.984251968503937" bottom="0.8267716535433072" header="0.5118110236220472" footer="0.5118110236220472"/>
  <pageSetup firstPageNumber="7" useFirstPageNumber="1" horizontalDpi="600" verticalDpi="600" orientation="landscape" paperSize="9" scale="95" r:id="rId1"/>
  <headerFooter alignWithMargins="0">
    <oddFooter>&amp;C&amp;P</oddFooter>
  </headerFooter>
  <ignoredErrors>
    <ignoredError sqref="I85 I17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76"/>
  <sheetViews>
    <sheetView tabSelected="1" zoomScalePageLayoutView="0" workbookViewId="0" topLeftCell="A1">
      <selection activeCell="N4" sqref="N4"/>
    </sheetView>
  </sheetViews>
  <sheetFormatPr defaultColWidth="8.88671875" defaultRowHeight="13.5"/>
  <cols>
    <col min="1" max="1" width="5.3359375" style="6" customWidth="1"/>
    <col min="2" max="10" width="11.10546875" style="73" customWidth="1"/>
    <col min="11" max="11" width="14.3359375" style="73" customWidth="1"/>
    <col min="12" max="16384" width="8.88671875" style="6" customWidth="1"/>
  </cols>
  <sheetData>
    <row r="1" spans="1:11" ht="28.5" customHeight="1">
      <c r="A1" s="81"/>
      <c r="B1" s="68"/>
      <c r="C1" s="68"/>
      <c r="D1" s="68"/>
      <c r="E1" s="68"/>
      <c r="F1" s="68"/>
      <c r="G1" s="68"/>
      <c r="H1" s="69"/>
      <c r="I1" s="69"/>
      <c r="J1" s="69"/>
      <c r="K1" s="70"/>
    </row>
    <row r="2" spans="1:11" ht="60.75" customHeight="1">
      <c r="A2" s="318" t="s">
        <v>289</v>
      </c>
      <c r="B2" s="319"/>
      <c r="C2" s="319"/>
      <c r="D2" s="319"/>
      <c r="E2" s="319"/>
      <c r="F2" s="319"/>
      <c r="G2" s="319"/>
      <c r="H2" s="319"/>
      <c r="I2" s="319"/>
      <c r="J2" s="319"/>
      <c r="K2" s="320"/>
    </row>
    <row r="3" spans="1:11" ht="22.5" customHeight="1">
      <c r="A3" s="82"/>
      <c r="B3" s="74"/>
      <c r="C3" s="74"/>
      <c r="D3" s="74"/>
      <c r="E3" s="74"/>
      <c r="F3" s="74"/>
      <c r="G3" s="74"/>
      <c r="H3" s="74"/>
      <c r="I3" s="74"/>
      <c r="J3" s="74"/>
      <c r="K3" s="83"/>
    </row>
    <row r="4" spans="1:11" ht="58.5" customHeight="1">
      <c r="A4" s="321" t="s">
        <v>290</v>
      </c>
      <c r="B4" s="322"/>
      <c r="C4" s="322"/>
      <c r="D4" s="322"/>
      <c r="E4" s="322"/>
      <c r="F4" s="322"/>
      <c r="G4" s="322"/>
      <c r="H4" s="322"/>
      <c r="I4" s="322"/>
      <c r="J4" s="322"/>
      <c r="K4" s="323"/>
    </row>
    <row r="5" spans="1:11" ht="27.75" customHeight="1">
      <c r="A5" s="82"/>
      <c r="B5" s="85"/>
      <c r="C5" s="85"/>
      <c r="D5" s="85"/>
      <c r="E5" s="85"/>
      <c r="F5" s="85"/>
      <c r="G5" s="85"/>
      <c r="H5" s="85"/>
      <c r="I5" s="85"/>
      <c r="J5" s="85"/>
      <c r="K5" s="86"/>
    </row>
    <row r="6" spans="1:11" s="8" customFormat="1" ht="28.5" customHeight="1">
      <c r="A6" s="87" t="s">
        <v>291</v>
      </c>
      <c r="B6" s="317" t="s">
        <v>292</v>
      </c>
      <c r="C6" s="317"/>
      <c r="D6" s="317"/>
      <c r="E6" s="317"/>
      <c r="F6" s="317"/>
      <c r="G6" s="317"/>
      <c r="H6" s="317"/>
      <c r="I6" s="317"/>
      <c r="J6" s="317"/>
      <c r="K6" s="89">
        <v>1</v>
      </c>
    </row>
    <row r="7" spans="1:11" s="8" customFormat="1" ht="30.75" customHeight="1">
      <c r="A7" s="87"/>
      <c r="B7" s="88"/>
      <c r="C7" s="88"/>
      <c r="D7" s="88"/>
      <c r="E7" s="88"/>
      <c r="F7" s="88"/>
      <c r="G7" s="88"/>
      <c r="H7" s="88"/>
      <c r="I7" s="88"/>
      <c r="J7" s="88"/>
      <c r="K7" s="89"/>
    </row>
    <row r="8" spans="1:11" s="8" customFormat="1" ht="33" customHeight="1">
      <c r="A8" s="87" t="s">
        <v>291</v>
      </c>
      <c r="B8" s="317" t="s">
        <v>293</v>
      </c>
      <c r="C8" s="317"/>
      <c r="D8" s="317"/>
      <c r="E8" s="317"/>
      <c r="F8" s="317"/>
      <c r="G8" s="317"/>
      <c r="H8" s="317"/>
      <c r="I8" s="317"/>
      <c r="J8" s="317"/>
      <c r="K8" s="89">
        <v>2</v>
      </c>
    </row>
    <row r="9" spans="1:11" s="8" customFormat="1" ht="31.5" customHeight="1">
      <c r="A9" s="87"/>
      <c r="B9" s="88"/>
      <c r="C9" s="88"/>
      <c r="D9" s="88"/>
      <c r="E9" s="88"/>
      <c r="F9" s="88"/>
      <c r="G9" s="88"/>
      <c r="H9" s="88"/>
      <c r="I9" s="88"/>
      <c r="J9" s="88"/>
      <c r="K9" s="89"/>
    </row>
    <row r="10" spans="1:11" s="8" customFormat="1" ht="34.5" customHeight="1">
      <c r="A10" s="87" t="s">
        <v>291</v>
      </c>
      <c r="B10" s="317" t="s">
        <v>294</v>
      </c>
      <c r="C10" s="317"/>
      <c r="D10" s="317"/>
      <c r="E10" s="317"/>
      <c r="F10" s="317"/>
      <c r="G10" s="317"/>
      <c r="H10" s="317"/>
      <c r="I10" s="317"/>
      <c r="J10" s="317"/>
      <c r="K10" s="89">
        <v>3</v>
      </c>
    </row>
    <row r="11" spans="1:11" s="8" customFormat="1" ht="33.75" customHeight="1">
      <c r="A11" s="87"/>
      <c r="B11" s="88"/>
      <c r="C11" s="88"/>
      <c r="D11" s="88"/>
      <c r="E11" s="88"/>
      <c r="F11" s="88"/>
      <c r="G11" s="88"/>
      <c r="H11" s="88"/>
      <c r="I11" s="88"/>
      <c r="J11" s="88"/>
      <c r="K11" s="89"/>
    </row>
    <row r="12" spans="1:11" s="8" customFormat="1" ht="30.75" customHeight="1">
      <c r="A12" s="87" t="s">
        <v>291</v>
      </c>
      <c r="B12" s="317" t="s">
        <v>295</v>
      </c>
      <c r="C12" s="317"/>
      <c r="D12" s="317"/>
      <c r="E12" s="317"/>
      <c r="F12" s="317"/>
      <c r="G12" s="317"/>
      <c r="H12" s="317"/>
      <c r="I12" s="317"/>
      <c r="J12" s="317"/>
      <c r="K12" s="89">
        <v>7</v>
      </c>
    </row>
    <row r="13" spans="1:11" s="8" customFormat="1" ht="32.25" customHeight="1">
      <c r="A13" s="87"/>
      <c r="B13" s="88"/>
      <c r="C13" s="88"/>
      <c r="D13" s="88"/>
      <c r="E13" s="88"/>
      <c r="F13" s="88"/>
      <c r="G13" s="88"/>
      <c r="H13" s="88"/>
      <c r="I13" s="88"/>
      <c r="J13" s="88"/>
      <c r="K13" s="89"/>
    </row>
    <row r="14" spans="1:11" ht="21" customHeight="1" thickBot="1">
      <c r="A14" s="84"/>
      <c r="B14" s="71"/>
      <c r="C14" s="71"/>
      <c r="D14" s="71"/>
      <c r="E14" s="71"/>
      <c r="F14" s="71"/>
      <c r="G14" s="71"/>
      <c r="H14" s="71"/>
      <c r="I14" s="71"/>
      <c r="J14" s="71"/>
      <c r="K14" s="72"/>
    </row>
    <row r="15" ht="21" customHeight="1"/>
    <row r="16" ht="13.5">
      <c r="A16" s="8"/>
    </row>
    <row r="32" ht="13.5">
      <c r="A32" s="8"/>
    </row>
    <row r="34" s="73" customFormat="1" ht="13.5">
      <c r="A34" s="6"/>
    </row>
    <row r="43" ht="13.5">
      <c r="I43" s="74"/>
    </row>
    <row r="45" s="73" customFormat="1" ht="13.5">
      <c r="A45" s="8"/>
    </row>
    <row r="47" s="73" customFormat="1" ht="13.5">
      <c r="A47" s="6"/>
    </row>
    <row r="53" ht="13.5">
      <c r="G53" s="74"/>
    </row>
    <row r="54" spans="1:7" ht="13.5">
      <c r="A54" s="75"/>
      <c r="B54" s="74"/>
      <c r="C54" s="74"/>
      <c r="D54" s="74"/>
      <c r="E54" s="74"/>
      <c r="F54" s="74"/>
      <c r="G54" s="74"/>
    </row>
    <row r="55" spans="1:7" s="73" customFormat="1" ht="13.5">
      <c r="A55" s="75"/>
      <c r="B55" s="74"/>
      <c r="C55" s="74"/>
      <c r="D55" s="74"/>
      <c r="E55" s="74"/>
      <c r="F55" s="74"/>
      <c r="G55" s="74"/>
    </row>
    <row r="56" spans="1:7" s="73" customFormat="1" ht="13.5">
      <c r="A56" s="75"/>
      <c r="B56" s="74"/>
      <c r="C56" s="74"/>
      <c r="D56" s="74"/>
      <c r="E56" s="74"/>
      <c r="F56" s="74"/>
      <c r="G56" s="74"/>
    </row>
    <row r="57" s="73" customFormat="1" ht="13.5">
      <c r="A57" s="6"/>
    </row>
    <row r="58" s="73" customFormat="1" ht="13.5">
      <c r="A58" s="6"/>
    </row>
    <row r="59" ht="13.5">
      <c r="A59" s="8"/>
    </row>
    <row r="61" s="73" customFormat="1" ht="13.5">
      <c r="A61" s="6"/>
    </row>
    <row r="74" ht="13.5">
      <c r="A74" s="8"/>
    </row>
    <row r="76" s="73" customFormat="1" ht="13.5">
      <c r="A76" s="6"/>
    </row>
  </sheetData>
  <sheetProtection/>
  <mergeCells count="6">
    <mergeCell ref="B12:J12"/>
    <mergeCell ref="A2:K2"/>
    <mergeCell ref="A4:K4"/>
    <mergeCell ref="B6:J6"/>
    <mergeCell ref="B8:J8"/>
    <mergeCell ref="B10:J10"/>
  </mergeCells>
  <printOptions/>
  <pageMargins left="1.3779527559055118" right="0.3937007874015748" top="0.984251968503937" bottom="0.8267716535433072" header="0.5118110236220472" footer="0.5118110236220472"/>
  <pageSetup firstPageNumber="1" useFirstPageNumber="1"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O21" sqref="O21"/>
    </sheetView>
  </sheetViews>
  <sheetFormatPr defaultColWidth="8.88671875" defaultRowHeight="13.5"/>
  <sheetData>
    <row r="1" spans="1:12" ht="13.5">
      <c r="A1" s="324" t="s">
        <v>296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3.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3.5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3.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3.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3.5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</row>
    <row r="7" spans="1:12" ht="13.5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</row>
    <row r="8" spans="1:12" ht="13.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</row>
    <row r="9" spans="1:12" ht="13.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</row>
    <row r="10" spans="1:12" ht="13.5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spans="1:12" ht="13.5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</row>
    <row r="12" spans="1:12" ht="13.5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</row>
    <row r="13" spans="1:12" ht="13.5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</row>
    <row r="14" spans="1:12" ht="13.5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</row>
    <row r="15" spans="1:12" ht="13.5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</row>
    <row r="16" spans="1:12" ht="13.5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</row>
    <row r="17" spans="1:12" ht="13.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</row>
    <row r="18" spans="1:12" ht="13.5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</row>
    <row r="19" spans="1:12" ht="13.5">
      <c r="A19" s="324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</row>
    <row r="20" spans="1:12" ht="13.5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</row>
    <row r="21" spans="1:12" ht="13.5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</row>
    <row r="22" spans="1:12" ht="13.5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</row>
    <row r="23" spans="1:12" ht="13.5">
      <c r="A23" s="324"/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</row>
    <row r="24" spans="1:12" ht="13.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</row>
    <row r="25" spans="1:12" ht="13.5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</row>
    <row r="26" spans="1:12" ht="13.5">
      <c r="A26" s="324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</row>
    <row r="27" spans="1:12" ht="13.5">
      <c r="A27" s="324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</row>
    <row r="28" spans="1:12" ht="13.5">
      <c r="A28" s="324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</row>
    <row r="29" spans="1:12" ht="13.5">
      <c r="A29" s="324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</row>
    <row r="30" spans="1:12" ht="13.5">
      <c r="A30" s="324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</row>
    <row r="31" spans="1:12" ht="13.5">
      <c r="A31" s="324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</row>
    <row r="32" spans="1:12" ht="13.5">
      <c r="A32" s="324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</row>
    <row r="33" spans="1:12" ht="13.5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</row>
  </sheetData>
  <sheetProtection/>
  <mergeCells count="1">
    <mergeCell ref="A1:L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zoomScalePageLayoutView="0" workbookViewId="0" topLeftCell="A1">
      <selection activeCell="A3" sqref="A3:H23"/>
    </sheetView>
  </sheetViews>
  <sheetFormatPr defaultColWidth="8.88671875" defaultRowHeight="13.5"/>
  <cols>
    <col min="1" max="1" width="8.77734375" style="78" customWidth="1"/>
    <col min="2" max="2" width="17.77734375" style="78" customWidth="1"/>
    <col min="3" max="3" width="15.77734375" style="78" customWidth="1"/>
    <col min="4" max="4" width="4.77734375" style="78" customWidth="1"/>
    <col min="5" max="5" width="17.77734375" style="78" customWidth="1"/>
    <col min="6" max="6" width="15.77734375" style="78" customWidth="1"/>
    <col min="7" max="7" width="4.77734375" style="78" customWidth="1"/>
    <col min="8" max="8" width="22.77734375" style="78" customWidth="1"/>
  </cols>
  <sheetData>
    <row r="1" spans="1:8" ht="19.5" thickBot="1">
      <c r="A1" s="76"/>
      <c r="B1" s="76"/>
      <c r="C1" s="76"/>
      <c r="D1" s="76"/>
      <c r="E1" s="76"/>
      <c r="F1" s="76"/>
      <c r="G1" s="76"/>
      <c r="H1" s="76"/>
    </row>
    <row r="2" spans="1:8" ht="12.75" customHeight="1">
      <c r="A2" s="325"/>
      <c r="B2" s="326"/>
      <c r="C2" s="326"/>
      <c r="D2" s="326"/>
      <c r="E2" s="326"/>
      <c r="F2" s="326"/>
      <c r="G2" s="326"/>
      <c r="H2" s="327"/>
    </row>
    <row r="3" spans="1:8" ht="31.5" customHeight="1">
      <c r="A3" s="328" t="s">
        <v>297</v>
      </c>
      <c r="B3" s="329"/>
      <c r="C3" s="329"/>
      <c r="D3" s="329"/>
      <c r="E3" s="329"/>
      <c r="F3" s="329"/>
      <c r="G3" s="329"/>
      <c r="H3" s="330"/>
    </row>
    <row r="4" spans="1:8" ht="19.5" customHeight="1">
      <c r="A4" s="90"/>
      <c r="B4" s="80"/>
      <c r="C4" s="80"/>
      <c r="D4" s="80"/>
      <c r="E4" s="80"/>
      <c r="F4" s="80"/>
      <c r="G4" s="80"/>
      <c r="H4" s="91"/>
    </row>
    <row r="5" spans="1:8" s="77" customFormat="1" ht="21" customHeight="1">
      <c r="A5" s="92" t="s">
        <v>298</v>
      </c>
      <c r="B5" s="93"/>
      <c r="C5" s="93"/>
      <c r="D5" s="93"/>
      <c r="E5" s="93"/>
      <c r="F5" s="93"/>
      <c r="G5" s="93"/>
      <c r="H5" s="94"/>
    </row>
    <row r="6" spans="1:8" s="77" customFormat="1" ht="21" customHeight="1">
      <c r="A6" s="92" t="s">
        <v>299</v>
      </c>
      <c r="B6" s="93"/>
      <c r="C6" s="93"/>
      <c r="D6" s="93"/>
      <c r="E6" s="93"/>
      <c r="F6" s="93"/>
      <c r="G6" s="93"/>
      <c r="H6" s="94"/>
    </row>
    <row r="7" spans="1:8" s="77" customFormat="1" ht="21" customHeight="1">
      <c r="A7" s="92" t="s">
        <v>300</v>
      </c>
      <c r="B7" s="93"/>
      <c r="C7" s="93"/>
      <c r="D7" s="93"/>
      <c r="E7" s="93"/>
      <c r="F7" s="93"/>
      <c r="G7" s="93"/>
      <c r="H7" s="94"/>
    </row>
    <row r="8" spans="1:8" s="77" customFormat="1" ht="21" customHeight="1">
      <c r="A8" s="95"/>
      <c r="B8" s="93" t="s">
        <v>301</v>
      </c>
      <c r="C8" s="96">
        <v>371343000</v>
      </c>
      <c r="D8" s="97" t="s">
        <v>302</v>
      </c>
      <c r="E8" s="93" t="s">
        <v>303</v>
      </c>
      <c r="F8" s="96">
        <v>179926000</v>
      </c>
      <c r="G8" s="97" t="s">
        <v>302</v>
      </c>
      <c r="H8" s="94"/>
    </row>
    <row r="9" spans="1:8" s="77" customFormat="1" ht="21" customHeight="1">
      <c r="A9" s="95"/>
      <c r="B9" s="93" t="s">
        <v>304</v>
      </c>
      <c r="C9" s="98">
        <v>1693688000</v>
      </c>
      <c r="D9" s="97" t="s">
        <v>302</v>
      </c>
      <c r="E9" s="93" t="s">
        <v>305</v>
      </c>
      <c r="F9" s="98">
        <v>24600000</v>
      </c>
      <c r="G9" s="97" t="s">
        <v>302</v>
      </c>
      <c r="H9" s="94"/>
    </row>
    <row r="10" spans="1:8" s="77" customFormat="1" ht="21" customHeight="1">
      <c r="A10" s="95"/>
      <c r="B10" s="93" t="s">
        <v>306</v>
      </c>
      <c r="C10" s="96">
        <v>150000000</v>
      </c>
      <c r="D10" s="97" t="s">
        <v>302</v>
      </c>
      <c r="E10" s="93" t="s">
        <v>307</v>
      </c>
      <c r="F10" s="96">
        <v>4297000</v>
      </c>
      <c r="G10" s="97" t="s">
        <v>302</v>
      </c>
      <c r="H10" s="94"/>
    </row>
    <row r="11" spans="1:8" s="77" customFormat="1" ht="21" customHeight="1">
      <c r="A11" s="95"/>
      <c r="B11" s="93" t="s">
        <v>308</v>
      </c>
      <c r="C11" s="96">
        <v>65060000</v>
      </c>
      <c r="D11" s="97" t="s">
        <v>302</v>
      </c>
      <c r="E11" s="93"/>
      <c r="F11" s="99"/>
      <c r="G11" s="97"/>
      <c r="H11" s="94"/>
    </row>
    <row r="12" spans="1:8" s="77" customFormat="1" ht="21" customHeight="1">
      <c r="A12" s="92" t="s">
        <v>309</v>
      </c>
      <c r="B12" s="93"/>
      <c r="C12" s="93"/>
      <c r="D12" s="93"/>
      <c r="E12" s="93"/>
      <c r="F12" s="93"/>
      <c r="G12" s="93"/>
      <c r="H12" s="94"/>
    </row>
    <row r="13" spans="1:8" s="77" customFormat="1" ht="21" customHeight="1">
      <c r="A13" s="92" t="s">
        <v>310</v>
      </c>
      <c r="B13" s="93" t="s">
        <v>311</v>
      </c>
      <c r="C13" s="100">
        <v>1985696000</v>
      </c>
      <c r="D13" s="97" t="s">
        <v>302</v>
      </c>
      <c r="E13" s="93" t="s">
        <v>312</v>
      </c>
      <c r="F13" s="100">
        <v>49460000</v>
      </c>
      <c r="G13" s="97" t="s">
        <v>302</v>
      </c>
      <c r="H13" s="94"/>
    </row>
    <row r="14" spans="1:8" s="77" customFormat="1" ht="21" customHeight="1">
      <c r="A14" s="92" t="s">
        <v>313</v>
      </c>
      <c r="B14" s="93" t="s">
        <v>314</v>
      </c>
      <c r="C14" s="100">
        <v>312853000</v>
      </c>
      <c r="D14" s="97" t="s">
        <v>302</v>
      </c>
      <c r="E14" s="93" t="s">
        <v>315</v>
      </c>
      <c r="F14" s="101">
        <v>42000000</v>
      </c>
      <c r="G14" s="97" t="s">
        <v>302</v>
      </c>
      <c r="H14" s="94"/>
    </row>
    <row r="15" spans="1:8" s="77" customFormat="1" ht="21" customHeight="1">
      <c r="A15" s="92" t="s">
        <v>316</v>
      </c>
      <c r="B15" s="93" t="s">
        <v>317</v>
      </c>
      <c r="C15" s="102">
        <v>23336000</v>
      </c>
      <c r="D15" s="97" t="s">
        <v>302</v>
      </c>
      <c r="E15" s="93" t="s">
        <v>318</v>
      </c>
      <c r="F15" s="100">
        <v>15569000</v>
      </c>
      <c r="G15" s="97" t="s">
        <v>302</v>
      </c>
      <c r="H15" s="94"/>
    </row>
    <row r="16" spans="1:8" s="77" customFormat="1" ht="21" customHeight="1">
      <c r="A16" s="92"/>
      <c r="B16" s="93" t="s">
        <v>319</v>
      </c>
      <c r="C16" s="100">
        <v>48000000</v>
      </c>
      <c r="D16" s="97" t="s">
        <v>302</v>
      </c>
      <c r="E16" s="93" t="s">
        <v>320</v>
      </c>
      <c r="F16" s="100">
        <v>12000000</v>
      </c>
      <c r="G16" s="97" t="s">
        <v>302</v>
      </c>
      <c r="H16" s="94"/>
    </row>
    <row r="17" spans="1:8" s="77" customFormat="1" ht="21" customHeight="1">
      <c r="A17" s="92" t="s">
        <v>321</v>
      </c>
      <c r="B17" s="93"/>
      <c r="C17" s="93"/>
      <c r="D17" s="93"/>
      <c r="E17" s="93"/>
      <c r="F17" s="93"/>
      <c r="G17" s="93"/>
      <c r="H17" s="94"/>
    </row>
    <row r="18" spans="1:8" s="77" customFormat="1" ht="21" customHeight="1">
      <c r="A18" s="92" t="s">
        <v>322</v>
      </c>
      <c r="B18" s="93"/>
      <c r="C18" s="93"/>
      <c r="D18" s="93"/>
      <c r="E18" s="93"/>
      <c r="F18" s="93"/>
      <c r="G18" s="93"/>
      <c r="H18" s="94"/>
    </row>
    <row r="19" spans="1:8" s="77" customFormat="1" ht="21" customHeight="1">
      <c r="A19" s="92" t="s">
        <v>323</v>
      </c>
      <c r="B19" s="93"/>
      <c r="C19" s="93"/>
      <c r="D19" s="93"/>
      <c r="E19" s="93"/>
      <c r="F19" s="93"/>
      <c r="G19" s="93"/>
      <c r="H19" s="94"/>
    </row>
    <row r="20" spans="1:8" s="77" customFormat="1" ht="21" customHeight="1">
      <c r="A20" s="92" t="s">
        <v>324</v>
      </c>
      <c r="B20" s="93"/>
      <c r="C20" s="93"/>
      <c r="D20" s="93"/>
      <c r="E20" s="93"/>
      <c r="F20" s="93"/>
      <c r="G20" s="93"/>
      <c r="H20" s="94"/>
    </row>
    <row r="21" spans="1:8" s="77" customFormat="1" ht="21" customHeight="1">
      <c r="A21" s="92" t="s">
        <v>325</v>
      </c>
      <c r="B21" s="93"/>
      <c r="C21" s="93"/>
      <c r="D21" s="93"/>
      <c r="E21" s="93"/>
      <c r="F21" s="93"/>
      <c r="G21" s="93"/>
      <c r="H21" s="94"/>
    </row>
    <row r="22" spans="1:8" s="77" customFormat="1" ht="21" customHeight="1">
      <c r="A22" s="92" t="s">
        <v>326</v>
      </c>
      <c r="B22" s="93"/>
      <c r="C22" s="93"/>
      <c r="D22" s="93"/>
      <c r="E22" s="93"/>
      <c r="F22" s="93"/>
      <c r="G22" s="93"/>
      <c r="H22" s="94"/>
    </row>
    <row r="23" spans="1:8" ht="19.5" customHeight="1" thickBot="1">
      <c r="A23" s="331"/>
      <c r="B23" s="332"/>
      <c r="C23" s="332"/>
      <c r="D23" s="332"/>
      <c r="E23" s="332"/>
      <c r="F23" s="332"/>
      <c r="G23" s="332"/>
      <c r="H23" s="333"/>
    </row>
    <row r="53" ht="13.5">
      <c r="J53" s="79"/>
    </row>
    <row r="64" spans="1:8" ht="13.5">
      <c r="A64" s="80"/>
      <c r="B64" s="80"/>
      <c r="C64" s="80"/>
      <c r="D64" s="80"/>
      <c r="E64" s="80"/>
      <c r="F64" s="80"/>
      <c r="G64" s="80"/>
      <c r="H64" s="80"/>
    </row>
    <row r="65" spans="1:8" ht="13.5">
      <c r="A65" s="80"/>
      <c r="B65" s="80"/>
      <c r="C65" s="80"/>
      <c r="D65" s="80"/>
      <c r="E65" s="80"/>
      <c r="F65" s="80"/>
      <c r="G65" s="80"/>
      <c r="H65" s="80"/>
    </row>
    <row r="66" spans="1:8" ht="13.5">
      <c r="A66" s="80"/>
      <c r="B66" s="80"/>
      <c r="C66" s="80"/>
      <c r="D66" s="80"/>
      <c r="E66" s="80"/>
      <c r="F66" s="80"/>
      <c r="G66" s="80"/>
      <c r="H66" s="80"/>
    </row>
  </sheetData>
  <sheetProtection/>
  <mergeCells count="3">
    <mergeCell ref="A2:H2"/>
    <mergeCell ref="A3:H3"/>
    <mergeCell ref="A23:H23"/>
  </mergeCells>
  <printOptions horizontalCentered="1"/>
  <pageMargins left="1.3385826771653544" right="0.1968503937007874" top="0.7480314960629921" bottom="0.7480314960629921" header="0.31496062992125984" footer="0.31496062992125984"/>
  <pageSetup firstPageNumber="1" useFirstPageNumber="1" horizontalDpi="600" verticalDpi="600" orientation="landscape" paperSize="9" r:id="rId1"/>
  <headerFoot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8.88671875" defaultRowHeight="13.5"/>
  <cols>
    <col min="12" max="12" width="10.88671875" style="0" customWidth="1"/>
  </cols>
  <sheetData>
    <row r="1" spans="1:12" ht="13.5">
      <c r="A1" s="334" t="s">
        <v>374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3.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3.5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3.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3.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3.5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</row>
    <row r="7" spans="1:12" ht="13.5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</row>
    <row r="8" spans="1:12" ht="13.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</row>
    <row r="9" spans="1:12" ht="13.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</row>
    <row r="10" spans="1:12" ht="13.5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spans="1:12" ht="13.5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</row>
    <row r="12" spans="1:12" ht="13.5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</row>
    <row r="13" spans="1:12" ht="13.5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</row>
    <row r="14" spans="1:12" ht="13.5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</row>
    <row r="15" spans="1:12" ht="13.5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</row>
    <row r="16" spans="1:12" ht="13.5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</row>
    <row r="17" spans="1:12" ht="13.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</row>
    <row r="18" spans="1:12" ht="13.5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</row>
    <row r="19" spans="1:12" ht="13.5">
      <c r="A19" s="324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</row>
    <row r="20" spans="1:12" ht="13.5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</row>
    <row r="21" spans="1:12" ht="13.5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</row>
    <row r="22" spans="1:12" ht="13.5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</row>
    <row r="23" spans="1:12" ht="13.5">
      <c r="A23" s="324"/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</row>
    <row r="24" spans="1:12" ht="13.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</row>
    <row r="25" spans="1:12" ht="13.5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</row>
    <row r="26" spans="1:12" ht="13.5">
      <c r="A26" s="324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</row>
    <row r="27" spans="1:12" ht="13.5">
      <c r="A27" s="324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</row>
    <row r="28" spans="1:12" ht="13.5">
      <c r="A28" s="324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</row>
    <row r="29" spans="1:12" ht="13.5">
      <c r="A29" s="324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</row>
    <row r="30" spans="1:12" ht="13.5">
      <c r="A30" s="324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</row>
    <row r="31" spans="1:12" ht="13.5">
      <c r="A31" s="324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</row>
    <row r="32" spans="1:12" ht="13.5">
      <c r="A32" s="324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</row>
    <row r="33" spans="1:12" ht="13.5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</row>
  </sheetData>
  <sheetProtection/>
  <mergeCells count="1">
    <mergeCell ref="A1:L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86"/>
  <sheetViews>
    <sheetView zoomScale="130" zoomScaleNormal="130" zoomScalePageLayoutView="0" workbookViewId="0" topLeftCell="A1">
      <selection activeCell="A20" sqref="A19:A20"/>
    </sheetView>
  </sheetViews>
  <sheetFormatPr defaultColWidth="8.88671875" defaultRowHeight="13.5"/>
  <cols>
    <col min="1" max="1" width="9.88671875" style="9" customWidth="1"/>
    <col min="2" max="2" width="9.3359375" style="9" customWidth="1"/>
    <col min="3" max="6" width="9.10546875" style="9" customWidth="1"/>
    <col min="7" max="7" width="9.88671875" style="9" customWidth="1"/>
    <col min="8" max="9" width="9.10546875" style="9" customWidth="1"/>
    <col min="10" max="10" width="9.10546875" style="5" customWidth="1"/>
    <col min="11" max="12" width="9.10546875" style="9" customWidth="1"/>
    <col min="13" max="16384" width="8.88671875" style="12" customWidth="1"/>
  </cols>
  <sheetData>
    <row r="1" spans="1:12" ht="36" customHeight="1">
      <c r="A1" s="337" t="s">
        <v>327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</row>
    <row r="2" spans="1:12" ht="15" customHeight="1">
      <c r="A2" s="338"/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</row>
    <row r="3" spans="1:10" ht="20.25" customHeight="1">
      <c r="A3" s="339" t="s">
        <v>328</v>
      </c>
      <c r="B3" s="339"/>
      <c r="C3" s="339"/>
      <c r="D3" s="103"/>
      <c r="E3" s="104"/>
      <c r="F3" s="103"/>
      <c r="G3" s="103"/>
      <c r="H3" s="103"/>
      <c r="I3" s="103"/>
      <c r="J3" s="105"/>
    </row>
    <row r="4" spans="1:12" ht="15" customHeight="1">
      <c r="A4" s="106"/>
      <c r="B4" s="107"/>
      <c r="C4" s="103"/>
      <c r="D4" s="103"/>
      <c r="E4" s="104"/>
      <c r="F4" s="103"/>
      <c r="G4" s="103"/>
      <c r="H4" s="103"/>
      <c r="I4" s="103"/>
      <c r="J4" s="105"/>
      <c r="K4" s="340" t="s">
        <v>269</v>
      </c>
      <c r="L4" s="341"/>
    </row>
    <row r="5" spans="1:22" s="52" customFormat="1" ht="30" customHeight="1">
      <c r="A5" s="342" t="s">
        <v>329</v>
      </c>
      <c r="B5" s="342"/>
      <c r="C5" s="342"/>
      <c r="D5" s="342"/>
      <c r="E5" s="342"/>
      <c r="F5" s="342"/>
      <c r="G5" s="342" t="s">
        <v>330</v>
      </c>
      <c r="H5" s="342"/>
      <c r="I5" s="342"/>
      <c r="J5" s="342"/>
      <c r="K5" s="342"/>
      <c r="L5" s="342"/>
      <c r="M5" s="49"/>
      <c r="N5" s="49"/>
      <c r="O5" s="49"/>
      <c r="P5" s="49"/>
      <c r="Q5" s="49"/>
      <c r="R5" s="49"/>
      <c r="S5" s="50"/>
      <c r="T5" s="51"/>
      <c r="U5" s="51"/>
      <c r="V5" s="51"/>
    </row>
    <row r="6" spans="1:22" s="52" customFormat="1" ht="16.5" customHeight="1">
      <c r="A6" s="335" t="s">
        <v>331</v>
      </c>
      <c r="B6" s="336" t="s">
        <v>332</v>
      </c>
      <c r="C6" s="108" t="s">
        <v>333</v>
      </c>
      <c r="D6" s="108" t="s">
        <v>333</v>
      </c>
      <c r="E6" s="336" t="s">
        <v>334</v>
      </c>
      <c r="F6" s="336"/>
      <c r="G6" s="336" t="s">
        <v>331</v>
      </c>
      <c r="H6" s="336" t="s">
        <v>332</v>
      </c>
      <c r="I6" s="108" t="s">
        <v>333</v>
      </c>
      <c r="J6" s="108" t="s">
        <v>333</v>
      </c>
      <c r="K6" s="336" t="s">
        <v>334</v>
      </c>
      <c r="L6" s="336"/>
      <c r="M6" s="49"/>
      <c r="N6" s="49"/>
      <c r="O6" s="49"/>
      <c r="P6" s="49"/>
      <c r="Q6" s="49"/>
      <c r="R6" s="49"/>
      <c r="S6" s="50"/>
      <c r="T6" s="51"/>
      <c r="U6" s="51"/>
      <c r="V6" s="51"/>
    </row>
    <row r="7" spans="1:22" s="52" customFormat="1" ht="16.5" customHeight="1">
      <c r="A7" s="335"/>
      <c r="B7" s="336"/>
      <c r="C7" s="109" t="s">
        <v>335</v>
      </c>
      <c r="D7" s="110" t="s">
        <v>336</v>
      </c>
      <c r="E7" s="111" t="s">
        <v>337</v>
      </c>
      <c r="F7" s="111" t="s">
        <v>338</v>
      </c>
      <c r="G7" s="336"/>
      <c r="H7" s="336"/>
      <c r="I7" s="109" t="s">
        <v>335</v>
      </c>
      <c r="J7" s="110" t="s">
        <v>336</v>
      </c>
      <c r="K7" s="111" t="s">
        <v>337</v>
      </c>
      <c r="L7" s="112" t="s">
        <v>338</v>
      </c>
      <c r="M7" s="49"/>
      <c r="N7" s="49"/>
      <c r="O7" s="49"/>
      <c r="P7" s="49"/>
      <c r="Q7" s="49"/>
      <c r="R7" s="49"/>
      <c r="S7" s="50"/>
      <c r="T7" s="51"/>
      <c r="U7" s="51"/>
      <c r="V7" s="51"/>
    </row>
    <row r="8" spans="1:22" s="53" customFormat="1" ht="16.5" customHeight="1">
      <c r="A8" s="113" t="s">
        <v>339</v>
      </c>
      <c r="B8" s="112"/>
      <c r="C8" s="114">
        <f>C9+C11+C13+C15+C17+C19+C21</f>
        <v>2470876</v>
      </c>
      <c r="D8" s="114">
        <f>D9+D11+D13+D15+D17+D19+D21</f>
        <v>2488914</v>
      </c>
      <c r="E8" s="115">
        <f aca="true" t="shared" si="0" ref="E8:E22">D8-C8</f>
        <v>18038</v>
      </c>
      <c r="F8" s="116">
        <f aca="true" t="shared" si="1" ref="F8:F22">E8/C8</f>
        <v>0.007300244933375856</v>
      </c>
      <c r="G8" s="117" t="s">
        <v>339</v>
      </c>
      <c r="H8" s="117"/>
      <c r="I8" s="114">
        <f>I9+I13+I15+I18+I20+I22+I24+I26</f>
        <v>2470876</v>
      </c>
      <c r="J8" s="114">
        <f>J9+J13+J15+J18+J20+J22+J24+J26</f>
        <v>2488914</v>
      </c>
      <c r="K8" s="115">
        <f aca="true" t="shared" si="2" ref="K8:K27">J8-I8</f>
        <v>18038</v>
      </c>
      <c r="L8" s="118">
        <f aca="true" t="shared" si="3" ref="L8:L27">K8/I8</f>
        <v>0.007300244933375856</v>
      </c>
      <c r="M8" s="49"/>
      <c r="N8" s="49"/>
      <c r="O8" s="49"/>
      <c r="P8" s="49"/>
      <c r="Q8" s="49"/>
      <c r="R8" s="49"/>
      <c r="S8" s="49"/>
      <c r="T8" s="49"/>
      <c r="U8" s="49"/>
      <c r="V8" s="49"/>
    </row>
    <row r="9" spans="1:22" s="53" customFormat="1" ht="16.5" customHeight="1">
      <c r="A9" s="119" t="s">
        <v>340</v>
      </c>
      <c r="B9" s="112"/>
      <c r="C9" s="120">
        <f>C10</f>
        <v>371343</v>
      </c>
      <c r="D9" s="120">
        <f>D10</f>
        <v>371343</v>
      </c>
      <c r="E9" s="115">
        <f t="shared" si="0"/>
        <v>0</v>
      </c>
      <c r="F9" s="116">
        <f t="shared" si="1"/>
        <v>0</v>
      </c>
      <c r="G9" s="121" t="s">
        <v>341</v>
      </c>
      <c r="H9" s="117"/>
      <c r="I9" s="122">
        <f>I10+I11+I12</f>
        <v>1988751</v>
      </c>
      <c r="J9" s="122">
        <f>J10+J11+J12</f>
        <v>1985696</v>
      </c>
      <c r="K9" s="123" t="s">
        <v>342</v>
      </c>
      <c r="L9" s="124" t="s">
        <v>343</v>
      </c>
      <c r="M9" s="49"/>
      <c r="N9" s="49"/>
      <c r="O9" s="49"/>
      <c r="P9" s="49"/>
      <c r="Q9" s="49"/>
      <c r="R9" s="49"/>
      <c r="S9" s="49"/>
      <c r="T9" s="49"/>
      <c r="U9" s="49"/>
      <c r="V9" s="49"/>
    </row>
    <row r="10" spans="1:22" s="53" customFormat="1" ht="16.5" customHeight="1">
      <c r="A10" s="125"/>
      <c r="B10" s="126" t="s">
        <v>344</v>
      </c>
      <c r="C10" s="120">
        <v>371343</v>
      </c>
      <c r="D10" s="120">
        <v>371343</v>
      </c>
      <c r="E10" s="115">
        <f t="shared" si="0"/>
        <v>0</v>
      </c>
      <c r="F10" s="116">
        <f t="shared" si="1"/>
        <v>0</v>
      </c>
      <c r="G10" s="127"/>
      <c r="H10" s="121" t="s">
        <v>345</v>
      </c>
      <c r="I10" s="122">
        <v>1728031</v>
      </c>
      <c r="J10" s="122">
        <v>1736976</v>
      </c>
      <c r="K10" s="115">
        <f t="shared" si="2"/>
        <v>8945</v>
      </c>
      <c r="L10" s="118">
        <f t="shared" si="3"/>
        <v>0.005176411765761147</v>
      </c>
      <c r="M10" s="49"/>
      <c r="N10" s="49"/>
      <c r="O10" s="49"/>
      <c r="P10" s="49"/>
      <c r="Q10" s="49"/>
      <c r="R10" s="49"/>
      <c r="S10" s="49"/>
      <c r="T10" s="49"/>
      <c r="U10" s="49"/>
      <c r="V10" s="49"/>
    </row>
    <row r="11" spans="1:22" s="53" customFormat="1" ht="16.5" customHeight="1">
      <c r="A11" s="119" t="s">
        <v>346</v>
      </c>
      <c r="B11" s="112"/>
      <c r="C11" s="120">
        <f>C12</f>
        <v>179926</v>
      </c>
      <c r="D11" s="120">
        <f>D12</f>
        <v>179926</v>
      </c>
      <c r="E11" s="115">
        <f t="shared" si="0"/>
        <v>0</v>
      </c>
      <c r="F11" s="116">
        <f t="shared" si="1"/>
        <v>0</v>
      </c>
      <c r="G11" s="127"/>
      <c r="H11" s="121" t="s">
        <v>347</v>
      </c>
      <c r="I11" s="122">
        <v>10530</v>
      </c>
      <c r="J11" s="122">
        <v>10530</v>
      </c>
      <c r="K11" s="115">
        <f t="shared" si="2"/>
        <v>0</v>
      </c>
      <c r="L11" s="118">
        <f t="shared" si="3"/>
        <v>0</v>
      </c>
      <c r="M11" s="49"/>
      <c r="N11" s="49"/>
      <c r="O11" s="49"/>
      <c r="P11" s="49"/>
      <c r="Q11" s="49"/>
      <c r="R11" s="49"/>
      <c r="S11" s="49"/>
      <c r="T11" s="49"/>
      <c r="U11" s="49"/>
      <c r="V11" s="49"/>
    </row>
    <row r="12" spans="1:22" s="53" customFormat="1" ht="16.5" customHeight="1">
      <c r="A12" s="128"/>
      <c r="B12" s="126" t="s">
        <v>346</v>
      </c>
      <c r="C12" s="129">
        <v>179926</v>
      </c>
      <c r="D12" s="129">
        <v>179926</v>
      </c>
      <c r="E12" s="115">
        <f t="shared" si="0"/>
        <v>0</v>
      </c>
      <c r="F12" s="116">
        <f t="shared" si="1"/>
        <v>0</v>
      </c>
      <c r="G12" s="127"/>
      <c r="H12" s="121" t="s">
        <v>348</v>
      </c>
      <c r="I12" s="130">
        <v>250190</v>
      </c>
      <c r="J12" s="130">
        <v>238190</v>
      </c>
      <c r="K12" s="123" t="s">
        <v>349</v>
      </c>
      <c r="L12" s="124" t="s">
        <v>350</v>
      </c>
      <c r="M12" s="49"/>
      <c r="N12" s="49"/>
      <c r="O12" s="49"/>
      <c r="P12" s="49"/>
      <c r="Q12" s="49"/>
      <c r="R12" s="49"/>
      <c r="S12" s="49"/>
      <c r="T12" s="49"/>
      <c r="U12" s="49"/>
      <c r="V12" s="49"/>
    </row>
    <row r="13" spans="1:22" s="53" customFormat="1" ht="16.5" customHeight="1">
      <c r="A13" s="131" t="s">
        <v>351</v>
      </c>
      <c r="B13" s="132"/>
      <c r="C13" s="120">
        <f>C14</f>
        <v>24600</v>
      </c>
      <c r="D13" s="120">
        <f>D14</f>
        <v>24600</v>
      </c>
      <c r="E13" s="115">
        <f t="shared" si="0"/>
        <v>0</v>
      </c>
      <c r="F13" s="116">
        <f t="shared" si="1"/>
        <v>0</v>
      </c>
      <c r="G13" s="121" t="s">
        <v>352</v>
      </c>
      <c r="H13" s="117"/>
      <c r="I13" s="122">
        <f>I14</f>
        <v>45860</v>
      </c>
      <c r="J13" s="122">
        <f>J14</f>
        <v>49460</v>
      </c>
      <c r="K13" s="115">
        <f t="shared" si="2"/>
        <v>3600</v>
      </c>
      <c r="L13" s="118">
        <f t="shared" si="3"/>
        <v>0.07849978194505015</v>
      </c>
      <c r="M13" s="49"/>
      <c r="N13" s="49"/>
      <c r="O13" s="49"/>
      <c r="P13" s="49"/>
      <c r="Q13" s="49"/>
      <c r="R13" s="49"/>
      <c r="S13" s="49"/>
      <c r="T13" s="49"/>
      <c r="U13" s="49"/>
      <c r="V13" s="49"/>
    </row>
    <row r="14" spans="1:22" s="53" customFormat="1" ht="16.5" customHeight="1">
      <c r="A14" s="133"/>
      <c r="B14" s="134" t="s">
        <v>351</v>
      </c>
      <c r="C14" s="135">
        <v>24600</v>
      </c>
      <c r="D14" s="135">
        <v>24600</v>
      </c>
      <c r="E14" s="115">
        <f t="shared" si="0"/>
        <v>0</v>
      </c>
      <c r="F14" s="116">
        <f t="shared" si="1"/>
        <v>0</v>
      </c>
      <c r="G14" s="127"/>
      <c r="H14" s="121" t="s">
        <v>353</v>
      </c>
      <c r="I14" s="136">
        <v>45860</v>
      </c>
      <c r="J14" s="136">
        <v>49460</v>
      </c>
      <c r="K14" s="115">
        <f t="shared" si="2"/>
        <v>3600</v>
      </c>
      <c r="L14" s="118">
        <f t="shared" si="3"/>
        <v>0.07849978194505015</v>
      </c>
      <c r="M14" s="49"/>
      <c r="N14" s="49"/>
      <c r="O14" s="49"/>
      <c r="P14" s="49"/>
      <c r="Q14" s="49"/>
      <c r="R14" s="49"/>
      <c r="S14" s="49"/>
      <c r="T14" s="49"/>
      <c r="U14" s="49"/>
      <c r="V14" s="49"/>
    </row>
    <row r="15" spans="1:22" s="53" customFormat="1" ht="16.5" customHeight="1">
      <c r="A15" s="131" t="s">
        <v>354</v>
      </c>
      <c r="B15" s="132"/>
      <c r="C15" s="120">
        <f>C16</f>
        <v>1684911</v>
      </c>
      <c r="D15" s="120">
        <f>D16</f>
        <v>1693688</v>
      </c>
      <c r="E15" s="115">
        <f t="shared" si="0"/>
        <v>8777</v>
      </c>
      <c r="F15" s="116">
        <f t="shared" si="1"/>
        <v>0.00520917722063658</v>
      </c>
      <c r="G15" s="121" t="s">
        <v>355</v>
      </c>
      <c r="H15" s="117"/>
      <c r="I15" s="122">
        <f>SUM(I16:I17)</f>
        <v>304360</v>
      </c>
      <c r="J15" s="122">
        <f>SUM(J16:J17)</f>
        <v>312853</v>
      </c>
      <c r="K15" s="115">
        <f t="shared" si="2"/>
        <v>8493</v>
      </c>
      <c r="L15" s="118">
        <f t="shared" si="3"/>
        <v>0.027904455250361414</v>
      </c>
      <c r="M15" s="49"/>
      <c r="N15" s="49"/>
      <c r="O15" s="49"/>
      <c r="P15" s="49"/>
      <c r="Q15" s="49"/>
      <c r="R15" s="49"/>
      <c r="S15" s="49"/>
      <c r="T15" s="49"/>
      <c r="U15" s="49"/>
      <c r="V15" s="49"/>
    </row>
    <row r="16" spans="1:22" s="53" customFormat="1" ht="16.5" customHeight="1">
      <c r="A16" s="110"/>
      <c r="B16" s="132" t="s">
        <v>354</v>
      </c>
      <c r="C16" s="120">
        <v>1684911</v>
      </c>
      <c r="D16" s="120">
        <v>1693688</v>
      </c>
      <c r="E16" s="115">
        <f t="shared" si="0"/>
        <v>8777</v>
      </c>
      <c r="F16" s="116">
        <f t="shared" si="1"/>
        <v>0.00520917722063658</v>
      </c>
      <c r="G16" s="137"/>
      <c r="H16" s="117" t="s">
        <v>348</v>
      </c>
      <c r="I16" s="122">
        <v>289060</v>
      </c>
      <c r="J16" s="122">
        <v>297553</v>
      </c>
      <c r="K16" s="115">
        <f t="shared" si="2"/>
        <v>8493</v>
      </c>
      <c r="L16" s="118">
        <f t="shared" si="3"/>
        <v>0.029381443298969072</v>
      </c>
      <c r="M16" s="49"/>
      <c r="N16" s="49"/>
      <c r="O16" s="49"/>
      <c r="P16" s="49"/>
      <c r="Q16" s="49"/>
      <c r="R16" s="49"/>
      <c r="S16" s="49"/>
      <c r="T16" s="49"/>
      <c r="U16" s="49"/>
      <c r="V16" s="49"/>
    </row>
    <row r="17" spans="1:22" s="53" customFormat="1" ht="16.5" customHeight="1">
      <c r="A17" s="131" t="s">
        <v>356</v>
      </c>
      <c r="B17" s="132"/>
      <c r="C17" s="120">
        <f>C18</f>
        <v>150000</v>
      </c>
      <c r="D17" s="120">
        <f>D18</f>
        <v>150000</v>
      </c>
      <c r="E17" s="115">
        <f t="shared" si="0"/>
        <v>0</v>
      </c>
      <c r="F17" s="116">
        <f t="shared" si="1"/>
        <v>0</v>
      </c>
      <c r="G17" s="138"/>
      <c r="H17" s="117" t="s">
        <v>357</v>
      </c>
      <c r="I17" s="130">
        <v>15300</v>
      </c>
      <c r="J17" s="130">
        <v>15300</v>
      </c>
      <c r="K17" s="115">
        <f t="shared" si="2"/>
        <v>0</v>
      </c>
      <c r="L17" s="118">
        <f t="shared" si="3"/>
        <v>0</v>
      </c>
      <c r="M17" s="49"/>
      <c r="N17" s="49"/>
      <c r="O17" s="49"/>
      <c r="P17" s="49"/>
      <c r="Q17" s="49"/>
      <c r="R17" s="49"/>
      <c r="S17" s="49"/>
      <c r="T17" s="49"/>
      <c r="U17" s="49"/>
      <c r="V17" s="49"/>
    </row>
    <row r="18" spans="1:22" s="53" customFormat="1" ht="16.5" customHeight="1">
      <c r="A18" s="110"/>
      <c r="B18" s="132" t="s">
        <v>358</v>
      </c>
      <c r="C18" s="120">
        <v>150000</v>
      </c>
      <c r="D18" s="120">
        <v>150000</v>
      </c>
      <c r="E18" s="115">
        <f t="shared" si="0"/>
        <v>0</v>
      </c>
      <c r="F18" s="116">
        <f t="shared" si="1"/>
        <v>0</v>
      </c>
      <c r="G18" s="139" t="s">
        <v>359</v>
      </c>
      <c r="H18" s="140"/>
      <c r="I18" s="141">
        <f>I19</f>
        <v>42000</v>
      </c>
      <c r="J18" s="141">
        <f>J19</f>
        <v>42000</v>
      </c>
      <c r="K18" s="115">
        <f t="shared" si="2"/>
        <v>0</v>
      </c>
      <c r="L18" s="118">
        <f t="shared" si="3"/>
        <v>0</v>
      </c>
      <c r="M18" s="49"/>
      <c r="N18" s="49"/>
      <c r="O18" s="49"/>
      <c r="P18" s="49"/>
      <c r="Q18" s="49"/>
      <c r="R18" s="49"/>
      <c r="S18" s="49"/>
      <c r="T18" s="49"/>
      <c r="U18" s="49"/>
      <c r="V18" s="49"/>
    </row>
    <row r="19" spans="1:22" s="53" customFormat="1" ht="16.5" customHeight="1">
      <c r="A19" s="142" t="s">
        <v>360</v>
      </c>
      <c r="B19" s="143"/>
      <c r="C19" s="120">
        <f>C20</f>
        <v>15000</v>
      </c>
      <c r="D19" s="120">
        <f>D20</f>
        <v>4297</v>
      </c>
      <c r="E19" s="123" t="s">
        <v>361</v>
      </c>
      <c r="F19" s="144" t="s">
        <v>362</v>
      </c>
      <c r="G19" s="145"/>
      <c r="H19" s="139" t="s">
        <v>359</v>
      </c>
      <c r="I19" s="141">
        <v>42000</v>
      </c>
      <c r="J19" s="141">
        <v>42000</v>
      </c>
      <c r="K19" s="115">
        <f t="shared" si="2"/>
        <v>0</v>
      </c>
      <c r="L19" s="118">
        <f t="shared" si="3"/>
        <v>0</v>
      </c>
      <c r="M19" s="49"/>
      <c r="N19" s="49"/>
      <c r="O19" s="49"/>
      <c r="P19" s="49"/>
      <c r="Q19" s="49"/>
      <c r="R19" s="49"/>
      <c r="S19" s="49"/>
      <c r="T19" s="49"/>
      <c r="U19" s="49"/>
      <c r="V19" s="49"/>
    </row>
    <row r="20" spans="1:22" s="53" customFormat="1" ht="16.5" customHeight="1">
      <c r="A20" s="146"/>
      <c r="B20" s="147" t="s">
        <v>360</v>
      </c>
      <c r="C20" s="120">
        <v>15000</v>
      </c>
      <c r="D20" s="120">
        <v>4297</v>
      </c>
      <c r="E20" s="123" t="s">
        <v>361</v>
      </c>
      <c r="F20" s="144" t="s">
        <v>362</v>
      </c>
      <c r="G20" s="139" t="s">
        <v>363</v>
      </c>
      <c r="H20" s="148"/>
      <c r="I20" s="149">
        <f>I21</f>
        <v>16336</v>
      </c>
      <c r="J20" s="149">
        <f>J21</f>
        <v>23336</v>
      </c>
      <c r="K20" s="115">
        <f t="shared" si="2"/>
        <v>7000</v>
      </c>
      <c r="L20" s="118">
        <f t="shared" si="3"/>
        <v>0.4285014691478942</v>
      </c>
      <c r="M20" s="49"/>
      <c r="N20" s="49"/>
      <c r="O20" s="49"/>
      <c r="P20" s="49"/>
      <c r="Q20" s="49"/>
      <c r="R20" s="49"/>
      <c r="S20" s="49"/>
      <c r="T20" s="49"/>
      <c r="U20" s="49"/>
      <c r="V20" s="49"/>
    </row>
    <row r="21" spans="1:22" s="53" customFormat="1" ht="16.5" customHeight="1">
      <c r="A21" s="119" t="s">
        <v>364</v>
      </c>
      <c r="B21" s="112"/>
      <c r="C21" s="120">
        <f>C22</f>
        <v>45096</v>
      </c>
      <c r="D21" s="120">
        <f>D22</f>
        <v>65060</v>
      </c>
      <c r="E21" s="115">
        <f t="shared" si="0"/>
        <v>19964</v>
      </c>
      <c r="F21" s="116">
        <f t="shared" si="1"/>
        <v>0.44270001773993256</v>
      </c>
      <c r="G21" s="127"/>
      <c r="H21" s="121" t="s">
        <v>363</v>
      </c>
      <c r="I21" s="150">
        <v>16336</v>
      </c>
      <c r="J21" s="150">
        <v>23336</v>
      </c>
      <c r="K21" s="115">
        <f t="shared" si="2"/>
        <v>7000</v>
      </c>
      <c r="L21" s="118">
        <f t="shared" si="3"/>
        <v>0.4285014691478942</v>
      </c>
      <c r="M21" s="49"/>
      <c r="N21" s="49"/>
      <c r="O21" s="49"/>
      <c r="P21" s="49"/>
      <c r="Q21" s="49"/>
      <c r="R21" s="49"/>
      <c r="S21" s="49"/>
      <c r="T21" s="49"/>
      <c r="U21" s="49"/>
      <c r="V21" s="49"/>
    </row>
    <row r="22" spans="1:22" s="53" customFormat="1" ht="16.5" customHeight="1">
      <c r="A22" s="151"/>
      <c r="B22" s="112" t="s">
        <v>364</v>
      </c>
      <c r="C22" s="152">
        <v>45096</v>
      </c>
      <c r="D22" s="152">
        <v>65060</v>
      </c>
      <c r="E22" s="150">
        <f t="shared" si="0"/>
        <v>19964</v>
      </c>
      <c r="F22" s="153">
        <f t="shared" si="1"/>
        <v>0.44270001773993256</v>
      </c>
      <c r="G22" s="121" t="s">
        <v>365</v>
      </c>
      <c r="H22" s="117"/>
      <c r="I22" s="122">
        <f>I23</f>
        <v>13569</v>
      </c>
      <c r="J22" s="122">
        <f>J23</f>
        <v>15569</v>
      </c>
      <c r="K22" s="115">
        <f t="shared" si="2"/>
        <v>2000</v>
      </c>
      <c r="L22" s="118">
        <f t="shared" si="3"/>
        <v>0.1473947969636672</v>
      </c>
      <c r="M22" s="49"/>
      <c r="N22" s="49"/>
      <c r="O22" s="49"/>
      <c r="P22" s="49"/>
      <c r="Q22" s="49"/>
      <c r="R22" s="49"/>
      <c r="S22" s="49"/>
      <c r="T22" s="49"/>
      <c r="U22" s="49"/>
      <c r="V22" s="49"/>
    </row>
    <row r="23" spans="1:22" s="53" customFormat="1" ht="16.5" customHeight="1">
      <c r="A23" s="128"/>
      <c r="B23" s="154"/>
      <c r="C23" s="154"/>
      <c r="D23" s="154"/>
      <c r="E23" s="154"/>
      <c r="F23" s="154"/>
      <c r="G23" s="155"/>
      <c r="H23" s="117" t="s">
        <v>365</v>
      </c>
      <c r="I23" s="122">
        <v>13569</v>
      </c>
      <c r="J23" s="122">
        <v>15569</v>
      </c>
      <c r="K23" s="115">
        <f t="shared" si="2"/>
        <v>2000</v>
      </c>
      <c r="L23" s="118">
        <f t="shared" si="3"/>
        <v>0.1473947969636672</v>
      </c>
      <c r="M23" s="49"/>
      <c r="N23" s="49"/>
      <c r="O23" s="49"/>
      <c r="P23" s="49"/>
      <c r="Q23" s="49"/>
      <c r="R23" s="49"/>
      <c r="S23" s="49"/>
      <c r="T23" s="49"/>
      <c r="U23" s="49"/>
      <c r="V23" s="49"/>
    </row>
    <row r="24" spans="1:22" s="53" customFormat="1" ht="16.5" customHeight="1">
      <c r="A24" s="128"/>
      <c r="B24" s="154"/>
      <c r="C24" s="154"/>
      <c r="D24" s="154"/>
      <c r="E24" s="154"/>
      <c r="F24" s="156"/>
      <c r="G24" s="127" t="s">
        <v>366</v>
      </c>
      <c r="H24" s="155"/>
      <c r="I24" s="122">
        <f>I25</f>
        <v>48000</v>
      </c>
      <c r="J24" s="122">
        <f>J25</f>
        <v>48000</v>
      </c>
      <c r="K24" s="115">
        <f t="shared" si="2"/>
        <v>0</v>
      </c>
      <c r="L24" s="118">
        <f t="shared" si="3"/>
        <v>0</v>
      </c>
      <c r="M24" s="49"/>
      <c r="N24" s="49"/>
      <c r="O24" s="49"/>
      <c r="P24" s="49"/>
      <c r="Q24" s="49"/>
      <c r="R24" s="49"/>
      <c r="S24" s="49"/>
      <c r="T24" s="49"/>
      <c r="U24" s="49"/>
      <c r="V24" s="49"/>
    </row>
    <row r="25" spans="1:22" s="53" customFormat="1" ht="16.5" customHeight="1">
      <c r="A25" s="128"/>
      <c r="B25" s="154"/>
      <c r="C25" s="154"/>
      <c r="D25" s="154"/>
      <c r="E25" s="154"/>
      <c r="F25" s="156"/>
      <c r="G25" s="127"/>
      <c r="H25" s="117" t="s">
        <v>367</v>
      </c>
      <c r="I25" s="122">
        <v>48000</v>
      </c>
      <c r="J25" s="122">
        <v>48000</v>
      </c>
      <c r="K25" s="115">
        <f t="shared" si="2"/>
        <v>0</v>
      </c>
      <c r="L25" s="118">
        <f t="shared" si="3"/>
        <v>0</v>
      </c>
      <c r="M25" s="49"/>
      <c r="N25" s="49"/>
      <c r="O25" s="49"/>
      <c r="P25" s="49"/>
      <c r="Q25" s="49"/>
      <c r="R25" s="49"/>
      <c r="S25" s="49"/>
      <c r="T25" s="49"/>
      <c r="U25" s="49"/>
      <c r="V25" s="49"/>
    </row>
    <row r="26" spans="1:22" s="53" customFormat="1" ht="16.5" customHeight="1">
      <c r="A26" s="128"/>
      <c r="B26" s="154"/>
      <c r="C26" s="154"/>
      <c r="D26" s="154"/>
      <c r="E26" s="154"/>
      <c r="F26" s="156"/>
      <c r="G26" s="134" t="s">
        <v>368</v>
      </c>
      <c r="H26" s="132"/>
      <c r="I26" s="122">
        <f>I27</f>
        <v>12000</v>
      </c>
      <c r="J26" s="122">
        <f>J27</f>
        <v>12000</v>
      </c>
      <c r="K26" s="115">
        <f t="shared" si="2"/>
        <v>0</v>
      </c>
      <c r="L26" s="118">
        <f t="shared" si="3"/>
        <v>0</v>
      </c>
      <c r="M26" s="49"/>
      <c r="N26" s="49"/>
      <c r="O26" s="49"/>
      <c r="P26" s="49"/>
      <c r="Q26" s="49"/>
      <c r="R26" s="49"/>
      <c r="S26" s="49"/>
      <c r="T26" s="49"/>
      <c r="U26" s="49"/>
      <c r="V26" s="49"/>
    </row>
    <row r="27" spans="1:22" s="53" customFormat="1" ht="16.5" customHeight="1">
      <c r="A27" s="157"/>
      <c r="B27" s="158"/>
      <c r="C27" s="158"/>
      <c r="D27" s="158"/>
      <c r="E27" s="158"/>
      <c r="F27" s="159"/>
      <c r="G27" s="160"/>
      <c r="H27" s="132" t="s">
        <v>369</v>
      </c>
      <c r="I27" s="122">
        <v>12000</v>
      </c>
      <c r="J27" s="122">
        <v>12000</v>
      </c>
      <c r="K27" s="150">
        <f t="shared" si="2"/>
        <v>0</v>
      </c>
      <c r="L27" s="153">
        <f t="shared" si="3"/>
        <v>0</v>
      </c>
      <c r="M27" s="49"/>
      <c r="N27" s="49"/>
      <c r="O27" s="49"/>
      <c r="P27" s="49"/>
      <c r="Q27" s="49"/>
      <c r="R27" s="49"/>
      <c r="S27" s="49"/>
      <c r="T27" s="49"/>
      <c r="U27" s="49"/>
      <c r="V27" s="49"/>
    </row>
    <row r="28" spans="1:22" s="53" customFormat="1" ht="15" customHeight="1">
      <c r="A28" s="54"/>
      <c r="B28" s="55"/>
      <c r="C28" s="55"/>
      <c r="D28" s="55"/>
      <c r="E28" s="55"/>
      <c r="F28" s="56"/>
      <c r="G28" s="9"/>
      <c r="H28" s="9"/>
      <c r="I28" s="9"/>
      <c r="J28" s="5"/>
      <c r="K28" s="9"/>
      <c r="L28" s="9"/>
      <c r="M28" s="49"/>
      <c r="N28" s="49"/>
      <c r="O28" s="49"/>
      <c r="P28" s="49"/>
      <c r="Q28" s="49"/>
      <c r="R28" s="49"/>
      <c r="S28" s="49"/>
      <c r="T28" s="49"/>
      <c r="U28" s="49"/>
      <c r="V28" s="49"/>
    </row>
    <row r="29" spans="1:22" s="53" customFormat="1" ht="15" customHeight="1">
      <c r="A29" s="54"/>
      <c r="B29" s="55"/>
      <c r="C29" s="55"/>
      <c r="D29" s="55"/>
      <c r="E29" s="55"/>
      <c r="F29" s="56"/>
      <c r="G29" s="9"/>
      <c r="H29" s="9"/>
      <c r="I29" s="9"/>
      <c r="J29" s="5"/>
      <c r="K29" s="9"/>
      <c r="L29" s="9"/>
      <c r="M29" s="49"/>
      <c r="N29" s="49"/>
      <c r="O29" s="49"/>
      <c r="P29" s="49"/>
      <c r="Q29" s="49"/>
      <c r="R29" s="49"/>
      <c r="S29" s="49"/>
      <c r="T29" s="49"/>
      <c r="U29" s="49"/>
      <c r="V29" s="49"/>
    </row>
    <row r="30" spans="1:22" s="53" customFormat="1" ht="15" customHeight="1">
      <c r="A30" s="54"/>
      <c r="B30" s="55"/>
      <c r="C30" s="55"/>
      <c r="D30" s="55"/>
      <c r="E30" s="55"/>
      <c r="F30" s="56"/>
      <c r="G30" s="9"/>
      <c r="H30" s="9"/>
      <c r="I30" s="9"/>
      <c r="J30" s="5"/>
      <c r="K30" s="9"/>
      <c r="L30" s="9"/>
      <c r="M30" s="49"/>
      <c r="N30" s="49"/>
      <c r="O30" s="49"/>
      <c r="P30" s="49"/>
      <c r="Q30" s="49"/>
      <c r="R30" s="49"/>
      <c r="S30" s="49"/>
      <c r="T30" s="49"/>
      <c r="U30" s="49"/>
      <c r="V30" s="49"/>
    </row>
    <row r="31" spans="1:22" s="53" customFormat="1" ht="15" customHeight="1">
      <c r="A31" s="54"/>
      <c r="B31" s="55"/>
      <c r="C31" s="55"/>
      <c r="D31" s="55"/>
      <c r="E31" s="55"/>
      <c r="F31" s="56"/>
      <c r="G31" s="9"/>
      <c r="H31" s="9"/>
      <c r="I31" s="9"/>
      <c r="J31" s="5"/>
      <c r="K31" s="9"/>
      <c r="L31" s="9"/>
      <c r="M31" s="49"/>
      <c r="N31" s="49"/>
      <c r="O31" s="49"/>
      <c r="P31" s="49"/>
      <c r="Q31" s="49"/>
      <c r="R31" s="49"/>
      <c r="S31" s="49"/>
      <c r="T31" s="49"/>
      <c r="U31" s="49"/>
      <c r="V31" s="49"/>
    </row>
    <row r="32" spans="1:22" s="53" customFormat="1" ht="15" customHeight="1">
      <c r="A32" s="54"/>
      <c r="B32" s="55"/>
      <c r="C32" s="55"/>
      <c r="D32" s="55"/>
      <c r="E32" s="55"/>
      <c r="F32" s="56"/>
      <c r="G32" s="9"/>
      <c r="H32" s="9"/>
      <c r="I32" s="9"/>
      <c r="J32" s="5"/>
      <c r="K32" s="9"/>
      <c r="L32" s="9"/>
      <c r="M32" s="49"/>
      <c r="N32" s="49"/>
      <c r="O32" s="49"/>
      <c r="P32" s="49"/>
      <c r="Q32" s="49"/>
      <c r="R32" s="49"/>
      <c r="S32" s="49"/>
      <c r="T32" s="49"/>
      <c r="U32" s="49"/>
      <c r="V32" s="49"/>
    </row>
    <row r="33" spans="1:22" s="53" customFormat="1" ht="15" customHeight="1">
      <c r="A33" s="57"/>
      <c r="B33" s="58"/>
      <c r="C33" s="58"/>
      <c r="D33" s="58"/>
      <c r="E33" s="58"/>
      <c r="F33" s="59"/>
      <c r="G33" s="9"/>
      <c r="H33" s="9"/>
      <c r="I33" s="9"/>
      <c r="J33" s="5"/>
      <c r="K33" s="9"/>
      <c r="L33" s="9"/>
      <c r="M33" s="49"/>
      <c r="N33" s="49"/>
      <c r="O33" s="49"/>
      <c r="P33" s="49"/>
      <c r="Q33" s="49"/>
      <c r="R33" s="49"/>
      <c r="S33" s="49"/>
      <c r="T33" s="49"/>
      <c r="U33" s="49"/>
      <c r="V33" s="49"/>
    </row>
    <row r="34" spans="1:22" s="53" customFormat="1" ht="15" customHeight="1">
      <c r="A34" s="54"/>
      <c r="B34" s="55"/>
      <c r="C34" s="55"/>
      <c r="D34" s="55"/>
      <c r="E34" s="55"/>
      <c r="F34" s="56"/>
      <c r="G34" s="9"/>
      <c r="H34" s="9"/>
      <c r="I34" s="9"/>
      <c r="J34" s="5"/>
      <c r="K34" s="9"/>
      <c r="L34" s="9"/>
      <c r="M34" s="49"/>
      <c r="N34" s="49"/>
      <c r="O34" s="49"/>
      <c r="P34" s="49"/>
      <c r="Q34" s="49"/>
      <c r="R34" s="49"/>
      <c r="S34" s="49"/>
      <c r="T34" s="49"/>
      <c r="U34" s="49"/>
      <c r="V34" s="49"/>
    </row>
    <row r="35" spans="1:22" s="53" customFormat="1" ht="15" customHeight="1">
      <c r="A35" s="54"/>
      <c r="B35" s="55"/>
      <c r="C35" s="55"/>
      <c r="D35" s="55"/>
      <c r="E35" s="55"/>
      <c r="F35" s="56"/>
      <c r="G35" s="9"/>
      <c r="H35" s="9"/>
      <c r="I35" s="9"/>
      <c r="J35" s="5"/>
      <c r="K35" s="9"/>
      <c r="L35" s="9"/>
      <c r="M35" s="49"/>
      <c r="N35" s="49"/>
      <c r="O35" s="49"/>
      <c r="P35" s="49"/>
      <c r="Q35" s="49"/>
      <c r="R35" s="49"/>
      <c r="S35" s="49"/>
      <c r="T35" s="49"/>
      <c r="U35" s="49"/>
      <c r="V35" s="49"/>
    </row>
    <row r="36" spans="1:22" s="53" customFormat="1" ht="15" customHeight="1">
      <c r="A36" s="54"/>
      <c r="B36" s="55"/>
      <c r="C36" s="55"/>
      <c r="D36" s="55"/>
      <c r="E36" s="55"/>
      <c r="F36" s="56"/>
      <c r="G36" s="9"/>
      <c r="H36" s="9"/>
      <c r="I36" s="9"/>
      <c r="J36" s="5"/>
      <c r="K36" s="9"/>
      <c r="L36" s="9"/>
      <c r="M36" s="49"/>
      <c r="N36" s="49"/>
      <c r="O36" s="49"/>
      <c r="P36" s="49"/>
      <c r="Q36" s="49"/>
      <c r="R36" s="49"/>
      <c r="S36" s="49"/>
      <c r="T36" s="49"/>
      <c r="U36" s="49"/>
      <c r="V36" s="49"/>
    </row>
    <row r="37" spans="1:22" s="53" customFormat="1" ht="15" customHeight="1">
      <c r="A37" s="60"/>
      <c r="B37" s="61"/>
      <c r="C37" s="61"/>
      <c r="D37" s="61"/>
      <c r="E37" s="61"/>
      <c r="F37" s="62"/>
      <c r="G37" s="9"/>
      <c r="H37" s="9"/>
      <c r="I37" s="9"/>
      <c r="J37" s="5"/>
      <c r="K37" s="9"/>
      <c r="L37" s="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s="53" customFormat="1" ht="15" customHeight="1">
      <c r="A38" s="60"/>
      <c r="B38" s="61"/>
      <c r="C38" s="61"/>
      <c r="D38" s="61"/>
      <c r="E38" s="61"/>
      <c r="F38" s="62"/>
      <c r="G38" s="9"/>
      <c r="H38" s="9"/>
      <c r="I38" s="9"/>
      <c r="J38" s="5"/>
      <c r="K38" s="9"/>
      <c r="L38" s="9"/>
      <c r="M38" s="49"/>
      <c r="N38" s="49"/>
      <c r="O38" s="49"/>
      <c r="P38" s="49"/>
      <c r="Q38" s="49"/>
      <c r="R38" s="49"/>
      <c r="S38" s="49"/>
      <c r="T38" s="49"/>
      <c r="U38" s="49"/>
      <c r="V38" s="49"/>
    </row>
    <row r="39" spans="1:22" s="53" customFormat="1" ht="15" customHeight="1">
      <c r="A39" s="60"/>
      <c r="B39" s="61"/>
      <c r="C39" s="61"/>
      <c r="D39" s="61"/>
      <c r="E39" s="61"/>
      <c r="F39" s="62"/>
      <c r="G39" s="9"/>
      <c r="H39" s="9"/>
      <c r="I39" s="9"/>
      <c r="J39" s="5"/>
      <c r="K39" s="9"/>
      <c r="L39" s="9"/>
      <c r="M39" s="49"/>
      <c r="N39" s="49"/>
      <c r="O39" s="49"/>
      <c r="P39" s="49"/>
      <c r="Q39" s="49"/>
      <c r="R39" s="49"/>
      <c r="S39" s="49"/>
      <c r="T39" s="49"/>
      <c r="U39" s="49"/>
      <c r="V39" s="49"/>
    </row>
    <row r="40" spans="1:22" s="53" customFormat="1" ht="15" customHeight="1">
      <c r="A40" s="63"/>
      <c r="B40" s="64"/>
      <c r="C40" s="64"/>
      <c r="D40" s="64"/>
      <c r="E40" s="64"/>
      <c r="F40" s="65"/>
      <c r="G40" s="9"/>
      <c r="H40" s="9"/>
      <c r="I40" s="9"/>
      <c r="J40" s="5"/>
      <c r="K40" s="9"/>
      <c r="L40" s="9"/>
      <c r="M40" s="49"/>
      <c r="N40" s="49"/>
      <c r="O40" s="49"/>
      <c r="P40" s="49"/>
      <c r="Q40" s="49"/>
      <c r="R40" s="49"/>
      <c r="S40" s="49"/>
      <c r="T40" s="49"/>
      <c r="U40" s="49"/>
      <c r="V40" s="49"/>
    </row>
    <row r="41" spans="1:22" s="53" customFormat="1" ht="15" customHeight="1">
      <c r="A41" s="66"/>
      <c r="B41" s="66"/>
      <c r="C41" s="66"/>
      <c r="D41" s="66"/>
      <c r="E41" s="66"/>
      <c r="F41" s="66"/>
      <c r="G41" s="9"/>
      <c r="H41" s="9"/>
      <c r="I41" s="9"/>
      <c r="J41" s="5"/>
      <c r="K41" s="9"/>
      <c r="L41" s="9"/>
      <c r="M41" s="49"/>
      <c r="N41" s="49"/>
      <c r="O41" s="49"/>
      <c r="P41" s="49"/>
      <c r="Q41" s="49"/>
      <c r="R41" s="49"/>
      <c r="S41" s="49"/>
      <c r="T41" s="49"/>
      <c r="U41" s="49"/>
      <c r="V41" s="49"/>
    </row>
    <row r="42" spans="1:22" s="53" customFormat="1" ht="15" customHeight="1">
      <c r="A42" s="5"/>
      <c r="B42" s="5"/>
      <c r="C42" s="5"/>
      <c r="D42" s="5"/>
      <c r="E42" s="5"/>
      <c r="F42" s="5"/>
      <c r="G42" s="9"/>
      <c r="H42" s="9"/>
      <c r="I42" s="9"/>
      <c r="J42" s="5"/>
      <c r="K42" s="9"/>
      <c r="L42" s="9"/>
      <c r="M42" s="49"/>
      <c r="N42" s="49"/>
      <c r="O42" s="49"/>
      <c r="P42" s="49"/>
      <c r="Q42" s="49"/>
      <c r="R42" s="49"/>
      <c r="S42" s="49"/>
      <c r="T42" s="49"/>
      <c r="U42" s="49"/>
      <c r="V42" s="49"/>
    </row>
    <row r="43" spans="1:22" s="53" customFormat="1" ht="15" customHeight="1">
      <c r="A43" s="9"/>
      <c r="B43" s="9"/>
      <c r="C43" s="9"/>
      <c r="D43" s="9"/>
      <c r="E43" s="9"/>
      <c r="F43" s="9"/>
      <c r="G43" s="9"/>
      <c r="H43" s="9"/>
      <c r="I43" s="9"/>
      <c r="J43" s="5"/>
      <c r="K43" s="9"/>
      <c r="L43" s="9"/>
      <c r="M43" s="49"/>
      <c r="N43" s="49"/>
      <c r="O43" s="49"/>
      <c r="P43" s="49"/>
      <c r="Q43" s="49"/>
      <c r="R43" s="49"/>
      <c r="S43" s="49"/>
      <c r="T43" s="49"/>
      <c r="U43" s="49"/>
      <c r="V43" s="49"/>
    </row>
    <row r="44" spans="1:22" s="53" customFormat="1" ht="15" customHeight="1">
      <c r="A44" s="9"/>
      <c r="B44" s="9"/>
      <c r="C44" s="9"/>
      <c r="D44" s="9"/>
      <c r="E44" s="9"/>
      <c r="F44" s="9"/>
      <c r="G44" s="9"/>
      <c r="H44" s="9"/>
      <c r="I44" s="9"/>
      <c r="J44" s="5"/>
      <c r="K44" s="9"/>
      <c r="L44" s="9"/>
      <c r="M44" s="49"/>
      <c r="N44" s="49"/>
      <c r="O44" s="49"/>
      <c r="P44" s="49"/>
      <c r="Q44" s="49"/>
      <c r="R44" s="49"/>
      <c r="S44" s="49"/>
      <c r="T44" s="49"/>
      <c r="U44" s="49"/>
      <c r="V44" s="49"/>
    </row>
    <row r="45" spans="1:22" s="53" customFormat="1" ht="15" customHeight="1">
      <c r="A45" s="9"/>
      <c r="B45" s="9"/>
      <c r="C45" s="9"/>
      <c r="D45" s="9"/>
      <c r="E45" s="9"/>
      <c r="F45" s="9"/>
      <c r="G45" s="9"/>
      <c r="H45" s="9"/>
      <c r="I45" s="9"/>
      <c r="J45" s="5"/>
      <c r="K45" s="9"/>
      <c r="L45" s="9"/>
      <c r="M45" s="49"/>
      <c r="N45" s="49"/>
      <c r="O45" s="49"/>
      <c r="P45" s="49"/>
      <c r="Q45" s="49"/>
      <c r="R45" s="49"/>
      <c r="S45" s="49"/>
      <c r="T45" s="49"/>
      <c r="U45" s="49"/>
      <c r="V45" s="49"/>
    </row>
    <row r="46" spans="1:22" s="53" customFormat="1" ht="15" customHeight="1">
      <c r="A46" s="9"/>
      <c r="B46" s="9"/>
      <c r="C46" s="9"/>
      <c r="D46" s="9"/>
      <c r="E46" s="9"/>
      <c r="F46" s="9"/>
      <c r="G46" s="9"/>
      <c r="H46" s="9"/>
      <c r="I46" s="9"/>
      <c r="J46" s="5"/>
      <c r="K46" s="9"/>
      <c r="L46" s="9"/>
      <c r="M46" s="49"/>
      <c r="N46" s="49"/>
      <c r="O46" s="49"/>
      <c r="P46" s="49"/>
      <c r="Q46" s="49"/>
      <c r="R46" s="49"/>
      <c r="S46" s="49"/>
      <c r="T46" s="49"/>
      <c r="U46" s="49"/>
      <c r="V46" s="49"/>
    </row>
    <row r="47" spans="1:22" s="53" customFormat="1" ht="15" customHeight="1">
      <c r="A47" s="9"/>
      <c r="B47" s="9"/>
      <c r="C47" s="9"/>
      <c r="D47" s="9"/>
      <c r="E47" s="9"/>
      <c r="F47" s="9"/>
      <c r="G47" s="9"/>
      <c r="H47" s="9"/>
      <c r="I47" s="9"/>
      <c r="J47" s="5"/>
      <c r="K47" s="9"/>
      <c r="L47" s="9"/>
      <c r="M47" s="49"/>
      <c r="N47" s="49"/>
      <c r="O47" s="49"/>
      <c r="P47" s="49"/>
      <c r="Q47" s="49"/>
      <c r="R47" s="49"/>
      <c r="S47" s="49"/>
      <c r="T47" s="49"/>
      <c r="U47" s="49"/>
      <c r="V47" s="49"/>
    </row>
    <row r="48" spans="1:22" s="53" customFormat="1" ht="15" customHeight="1">
      <c r="A48" s="9"/>
      <c r="B48" s="9"/>
      <c r="C48" s="9"/>
      <c r="D48" s="9"/>
      <c r="E48" s="9"/>
      <c r="F48" s="9"/>
      <c r="G48" s="9"/>
      <c r="H48" s="9"/>
      <c r="I48" s="9"/>
      <c r="J48" s="5"/>
      <c r="K48" s="9"/>
      <c r="L48" s="9"/>
      <c r="M48" s="49"/>
      <c r="N48" s="49"/>
      <c r="O48" s="49"/>
      <c r="P48" s="49"/>
      <c r="Q48" s="49"/>
      <c r="R48" s="49"/>
      <c r="S48" s="49"/>
      <c r="T48" s="49"/>
      <c r="U48" s="49"/>
      <c r="V48" s="49"/>
    </row>
    <row r="49" spans="1:22" s="53" customFormat="1" ht="15" customHeight="1">
      <c r="A49" s="9"/>
      <c r="B49" s="9"/>
      <c r="C49" s="9"/>
      <c r="D49" s="9"/>
      <c r="E49" s="9"/>
      <c r="F49" s="9"/>
      <c r="G49" s="9"/>
      <c r="H49" s="9"/>
      <c r="I49" s="9"/>
      <c r="J49" s="5"/>
      <c r="K49" s="9"/>
      <c r="L49" s="9"/>
      <c r="M49" s="49"/>
      <c r="N49" s="49"/>
      <c r="O49" s="49"/>
      <c r="P49" s="49"/>
      <c r="Q49" s="49"/>
      <c r="R49" s="49"/>
      <c r="S49" s="49"/>
      <c r="T49" s="49"/>
      <c r="U49" s="49"/>
      <c r="V49" s="49"/>
    </row>
    <row r="50" spans="1:22" s="53" customFormat="1" ht="15" customHeight="1">
      <c r="A50" s="9"/>
      <c r="B50" s="9"/>
      <c r="C50" s="9"/>
      <c r="D50" s="9"/>
      <c r="E50" s="9"/>
      <c r="F50" s="9"/>
      <c r="G50" s="9"/>
      <c r="H50" s="9"/>
      <c r="I50" s="9"/>
      <c r="J50" s="5"/>
      <c r="K50" s="9"/>
      <c r="L50" s="9"/>
      <c r="M50" s="49"/>
      <c r="N50" s="49"/>
      <c r="O50" s="49"/>
      <c r="P50" s="49"/>
      <c r="Q50" s="49"/>
      <c r="R50" s="49"/>
      <c r="S50" s="49"/>
      <c r="T50" s="49"/>
      <c r="U50" s="49"/>
      <c r="V50" s="49"/>
    </row>
    <row r="51" spans="1:22" s="53" customFormat="1" ht="15" customHeight="1">
      <c r="A51" s="9"/>
      <c r="B51" s="9"/>
      <c r="C51" s="9"/>
      <c r="D51" s="9"/>
      <c r="E51" s="9"/>
      <c r="F51" s="9"/>
      <c r="G51" s="9"/>
      <c r="H51" s="9"/>
      <c r="I51" s="9"/>
      <c r="J51" s="5"/>
      <c r="K51" s="9"/>
      <c r="L51" s="9"/>
      <c r="M51" s="49"/>
      <c r="N51" s="49"/>
      <c r="O51" s="49"/>
      <c r="P51" s="49"/>
      <c r="Q51" s="49"/>
      <c r="R51" s="49"/>
      <c r="S51" s="49"/>
      <c r="T51" s="49"/>
      <c r="U51" s="49"/>
      <c r="V51" s="49"/>
    </row>
    <row r="52" spans="1:22" s="53" customFormat="1" ht="15" customHeight="1">
      <c r="A52" s="9"/>
      <c r="B52" s="9"/>
      <c r="C52" s="9"/>
      <c r="D52" s="9"/>
      <c r="E52" s="9"/>
      <c r="F52" s="9"/>
      <c r="G52" s="9"/>
      <c r="H52" s="9"/>
      <c r="I52" s="9"/>
      <c r="J52" s="5"/>
      <c r="K52" s="9"/>
      <c r="L52" s="9"/>
      <c r="M52" s="49"/>
      <c r="N52" s="49"/>
      <c r="O52" s="49"/>
      <c r="P52" s="49"/>
      <c r="Q52" s="49"/>
      <c r="R52" s="49"/>
      <c r="S52" s="49"/>
      <c r="T52" s="49"/>
      <c r="U52" s="49"/>
      <c r="V52" s="49"/>
    </row>
    <row r="53" spans="1:22" s="53" customFormat="1" ht="15" customHeight="1">
      <c r="A53" s="9"/>
      <c r="B53" s="9"/>
      <c r="C53" s="9"/>
      <c r="D53" s="9"/>
      <c r="E53" s="9"/>
      <c r="F53" s="9"/>
      <c r="G53" s="9"/>
      <c r="H53" s="9"/>
      <c r="I53" s="9"/>
      <c r="J53" s="5"/>
      <c r="K53" s="9"/>
      <c r="L53" s="9"/>
      <c r="M53" s="49"/>
      <c r="N53" s="49"/>
      <c r="O53" s="49"/>
      <c r="P53" s="49"/>
      <c r="Q53" s="49"/>
      <c r="R53" s="49"/>
      <c r="S53" s="49"/>
      <c r="T53" s="49"/>
      <c r="U53" s="49"/>
      <c r="V53" s="49"/>
    </row>
    <row r="54" spans="1:15" s="53" customFormat="1" ht="15" customHeight="1">
      <c r="A54" s="9"/>
      <c r="B54" s="9"/>
      <c r="C54" s="9"/>
      <c r="D54" s="9"/>
      <c r="E54" s="9"/>
      <c r="F54" s="9"/>
      <c r="G54" s="9"/>
      <c r="H54" s="9"/>
      <c r="I54" s="9"/>
      <c r="J54" s="5"/>
      <c r="K54" s="9"/>
      <c r="L54" s="9"/>
      <c r="M54" s="49"/>
      <c r="N54" s="49"/>
      <c r="O54" s="49"/>
    </row>
    <row r="55" spans="1:22" s="53" customFormat="1" ht="15" customHeight="1">
      <c r="A55" s="9"/>
      <c r="B55" s="9"/>
      <c r="C55" s="9"/>
      <c r="D55" s="9"/>
      <c r="E55" s="9"/>
      <c r="F55" s="9"/>
      <c r="G55" s="9"/>
      <c r="H55" s="9"/>
      <c r="I55" s="9"/>
      <c r="J55" s="5"/>
      <c r="K55" s="9"/>
      <c r="L55" s="9"/>
      <c r="M55" s="49"/>
      <c r="N55" s="49"/>
      <c r="O55" s="49"/>
      <c r="P55" s="49"/>
      <c r="Q55" s="49"/>
      <c r="R55" s="49"/>
      <c r="S55" s="49"/>
      <c r="T55" s="49"/>
      <c r="U55" s="49"/>
      <c r="V55" s="49"/>
    </row>
    <row r="56" spans="1:22" s="53" customFormat="1" ht="15" customHeight="1">
      <c r="A56" s="9"/>
      <c r="B56" s="9"/>
      <c r="C56" s="9"/>
      <c r="D56" s="9"/>
      <c r="E56" s="9"/>
      <c r="F56" s="9"/>
      <c r="G56" s="9"/>
      <c r="H56" s="9"/>
      <c r="I56" s="9"/>
      <c r="J56" s="5"/>
      <c r="K56" s="9"/>
      <c r="L56" s="9"/>
      <c r="M56" s="49"/>
      <c r="N56" s="49"/>
      <c r="O56" s="49"/>
      <c r="P56" s="49"/>
      <c r="Q56" s="49"/>
      <c r="R56" s="49"/>
      <c r="S56" s="49"/>
      <c r="T56" s="49"/>
      <c r="U56" s="49"/>
      <c r="V56" s="49"/>
    </row>
    <row r="57" spans="1:22" s="53" customFormat="1" ht="15" customHeight="1">
      <c r="A57" s="9"/>
      <c r="B57" s="9"/>
      <c r="C57" s="9"/>
      <c r="D57" s="9"/>
      <c r="E57" s="9"/>
      <c r="F57" s="9"/>
      <c r="G57" s="9"/>
      <c r="H57" s="9"/>
      <c r="I57" s="9"/>
      <c r="J57" s="5"/>
      <c r="K57" s="9"/>
      <c r="L57" s="9"/>
      <c r="M57" s="49"/>
      <c r="N57" s="49"/>
      <c r="O57" s="49"/>
      <c r="P57" s="49"/>
      <c r="Q57" s="49"/>
      <c r="R57" s="49"/>
      <c r="S57" s="49"/>
      <c r="T57" s="49"/>
      <c r="U57" s="49"/>
      <c r="V57" s="49"/>
    </row>
    <row r="58" spans="13:22" ht="15" customHeight="1">
      <c r="M58" s="49"/>
      <c r="N58" s="49"/>
      <c r="O58" s="49"/>
      <c r="P58" s="49"/>
      <c r="Q58" s="49"/>
      <c r="R58" s="49"/>
      <c r="S58" s="49"/>
      <c r="T58" s="49"/>
      <c r="U58" s="49"/>
      <c r="V58" s="49"/>
    </row>
    <row r="59" spans="13:22" ht="15" customHeight="1">
      <c r="M59" s="49"/>
      <c r="N59" s="49"/>
      <c r="O59" s="49"/>
      <c r="P59" s="49"/>
      <c r="Q59" s="49"/>
      <c r="R59" s="49"/>
      <c r="S59" s="49"/>
      <c r="T59" s="49"/>
      <c r="U59" s="49"/>
      <c r="V59" s="49"/>
    </row>
    <row r="60" spans="13:22" ht="13.5">
      <c r="M60" s="49"/>
      <c r="N60" s="49"/>
      <c r="O60" s="49"/>
      <c r="P60" s="49"/>
      <c r="Q60" s="49"/>
      <c r="R60" s="49"/>
      <c r="S60" s="49"/>
      <c r="T60" s="49"/>
      <c r="U60" s="49"/>
      <c r="V60" s="49"/>
    </row>
    <row r="61" spans="13:22" ht="13.5">
      <c r="M61" s="49"/>
      <c r="N61" s="49"/>
      <c r="O61" s="49"/>
      <c r="P61" s="49"/>
      <c r="Q61" s="49"/>
      <c r="R61" s="49"/>
      <c r="S61" s="49"/>
      <c r="T61" s="49"/>
      <c r="U61" s="49"/>
      <c r="V61" s="49"/>
    </row>
    <row r="62" spans="13:22" ht="13.5">
      <c r="M62" s="49"/>
      <c r="N62" s="49"/>
      <c r="O62" s="49"/>
      <c r="P62" s="49"/>
      <c r="Q62" s="49"/>
      <c r="R62" s="49"/>
      <c r="S62" s="49"/>
      <c r="T62" s="49"/>
      <c r="U62" s="49"/>
      <c r="V62" s="49"/>
    </row>
    <row r="63" spans="13:22" ht="13.5">
      <c r="M63" s="49"/>
      <c r="N63" s="49"/>
      <c r="O63" s="49"/>
      <c r="P63" s="49"/>
      <c r="Q63" s="49"/>
      <c r="R63" s="49"/>
      <c r="S63" s="49"/>
      <c r="T63" s="49"/>
      <c r="U63" s="49"/>
      <c r="V63" s="49"/>
    </row>
    <row r="64" spans="13:22" ht="13.5">
      <c r="M64" s="49"/>
      <c r="N64" s="49"/>
      <c r="O64" s="49"/>
      <c r="P64" s="49"/>
      <c r="Q64" s="49"/>
      <c r="R64" s="49"/>
      <c r="S64" s="49"/>
      <c r="T64" s="49"/>
      <c r="U64" s="49"/>
      <c r="V64" s="49"/>
    </row>
    <row r="65" spans="13:22" ht="13.5">
      <c r="M65" s="49"/>
      <c r="N65" s="49"/>
      <c r="O65" s="49"/>
      <c r="P65" s="49"/>
      <c r="Q65" s="49"/>
      <c r="R65" s="49"/>
      <c r="S65" s="49"/>
      <c r="T65" s="49"/>
      <c r="U65" s="49"/>
      <c r="V65" s="49"/>
    </row>
    <row r="66" spans="13:22" ht="13.5">
      <c r="M66" s="49"/>
      <c r="N66" s="49"/>
      <c r="O66" s="49"/>
      <c r="P66" s="49"/>
      <c r="Q66" s="49"/>
      <c r="R66" s="49"/>
      <c r="S66" s="49"/>
      <c r="T66" s="49"/>
      <c r="U66" s="49"/>
      <c r="V66" s="49"/>
    </row>
    <row r="67" spans="13:22" ht="13.5">
      <c r="M67" s="49"/>
      <c r="N67" s="49"/>
      <c r="O67" s="49"/>
      <c r="P67" s="49"/>
      <c r="Q67" s="49"/>
      <c r="R67" s="49"/>
      <c r="S67" s="49"/>
      <c r="T67" s="49"/>
      <c r="U67" s="49"/>
      <c r="V67" s="49"/>
    </row>
    <row r="68" spans="13:22" ht="13.5">
      <c r="M68" s="49"/>
      <c r="N68" s="49"/>
      <c r="O68" s="49"/>
      <c r="P68" s="49"/>
      <c r="Q68" s="49"/>
      <c r="R68" s="49"/>
      <c r="S68" s="49"/>
      <c r="T68" s="49"/>
      <c r="U68" s="49"/>
      <c r="V68" s="49"/>
    </row>
    <row r="69" spans="13:22" ht="13.5">
      <c r="M69" s="49"/>
      <c r="N69" s="49"/>
      <c r="O69" s="49"/>
      <c r="P69" s="49"/>
      <c r="Q69" s="49"/>
      <c r="R69" s="49"/>
      <c r="S69" s="49"/>
      <c r="T69" s="49"/>
      <c r="U69" s="49"/>
      <c r="V69" s="49"/>
    </row>
    <row r="70" spans="13:22" ht="13.5">
      <c r="M70" s="49"/>
      <c r="N70" s="49"/>
      <c r="O70" s="49"/>
      <c r="P70" s="49"/>
      <c r="Q70" s="49"/>
      <c r="R70" s="49"/>
      <c r="S70" s="49"/>
      <c r="T70" s="49"/>
      <c r="U70" s="49"/>
      <c r="V70" s="49"/>
    </row>
    <row r="71" spans="13:22" ht="13.5">
      <c r="M71" s="49"/>
      <c r="N71" s="49"/>
      <c r="O71" s="49"/>
      <c r="P71" s="49"/>
      <c r="Q71" s="49"/>
      <c r="R71" s="49"/>
      <c r="S71" s="49"/>
      <c r="T71" s="49"/>
      <c r="U71" s="49"/>
      <c r="V71" s="49"/>
    </row>
    <row r="72" spans="13:22" ht="13.5">
      <c r="M72" s="49"/>
      <c r="N72" s="49"/>
      <c r="O72" s="49"/>
      <c r="P72" s="49"/>
      <c r="Q72" s="49"/>
      <c r="R72" s="49"/>
      <c r="S72" s="49"/>
      <c r="T72" s="49"/>
      <c r="U72" s="49"/>
      <c r="V72" s="49"/>
    </row>
    <row r="73" spans="13:22" ht="13.5">
      <c r="M73" s="49"/>
      <c r="N73" s="49"/>
      <c r="O73" s="49"/>
      <c r="P73" s="49"/>
      <c r="Q73" s="49"/>
      <c r="R73" s="49"/>
      <c r="S73" s="49"/>
      <c r="T73" s="49"/>
      <c r="U73" s="49"/>
      <c r="V73" s="49"/>
    </row>
    <row r="74" spans="13:22" ht="13.5">
      <c r="M74" s="67"/>
      <c r="N74" s="67"/>
      <c r="O74" s="67"/>
      <c r="P74" s="67"/>
      <c r="Q74" s="67"/>
      <c r="R74" s="67"/>
      <c r="S74" s="67"/>
      <c r="T74" s="67"/>
      <c r="U74" s="67"/>
      <c r="V74" s="67"/>
    </row>
    <row r="75" spans="13:22" ht="13.5">
      <c r="M75" s="49"/>
      <c r="N75" s="49"/>
      <c r="O75" s="49"/>
      <c r="P75" s="49"/>
      <c r="Q75" s="49"/>
      <c r="R75" s="49"/>
      <c r="S75" s="49"/>
      <c r="T75" s="49"/>
      <c r="U75" s="49"/>
      <c r="V75" s="49"/>
    </row>
    <row r="76" spans="13:22" ht="13.5">
      <c r="M76" s="49"/>
      <c r="N76" s="49"/>
      <c r="O76" s="49"/>
      <c r="P76" s="49"/>
      <c r="Q76" s="49"/>
      <c r="R76" s="49"/>
      <c r="S76" s="49"/>
      <c r="T76" s="49"/>
      <c r="U76" s="49"/>
      <c r="V76" s="49"/>
    </row>
    <row r="77" spans="13:22" ht="13.5">
      <c r="M77" s="49"/>
      <c r="N77" s="49"/>
      <c r="O77" s="49"/>
      <c r="P77" s="49"/>
      <c r="Q77" s="49"/>
      <c r="R77" s="49"/>
      <c r="S77" s="49"/>
      <c r="T77" s="49"/>
      <c r="U77" s="49"/>
      <c r="V77" s="49"/>
    </row>
    <row r="78" spans="13:22" ht="13.5">
      <c r="M78" s="49"/>
      <c r="N78" s="49"/>
      <c r="O78" s="49"/>
      <c r="P78" s="49"/>
      <c r="Q78" s="49"/>
      <c r="R78" s="49"/>
      <c r="S78" s="49"/>
      <c r="T78" s="49"/>
      <c r="U78" s="49"/>
      <c r="V78" s="49"/>
    </row>
    <row r="79" spans="13:22" ht="13.5">
      <c r="M79" s="49"/>
      <c r="N79" s="49"/>
      <c r="O79" s="49"/>
      <c r="P79" s="49"/>
      <c r="Q79" s="49"/>
      <c r="R79" s="49"/>
      <c r="S79" s="49"/>
      <c r="T79" s="49"/>
      <c r="U79" s="49"/>
      <c r="V79" s="49"/>
    </row>
    <row r="80" spans="13:22" ht="13.5">
      <c r="M80" s="49"/>
      <c r="N80" s="49"/>
      <c r="O80" s="49"/>
      <c r="P80" s="49"/>
      <c r="Q80" s="49"/>
      <c r="R80" s="49"/>
      <c r="S80" s="49"/>
      <c r="T80" s="49"/>
      <c r="U80" s="49"/>
      <c r="V80" s="49"/>
    </row>
    <row r="81" spans="13:22" ht="13.5">
      <c r="M81" s="49"/>
      <c r="N81" s="49"/>
      <c r="O81" s="49"/>
      <c r="P81" s="49"/>
      <c r="Q81" s="49"/>
      <c r="R81" s="49"/>
      <c r="S81" s="49"/>
      <c r="T81" s="49"/>
      <c r="U81" s="49"/>
      <c r="V81" s="49"/>
    </row>
    <row r="82" spans="13:22" ht="13.5">
      <c r="M82" s="49"/>
      <c r="N82" s="49"/>
      <c r="O82" s="49"/>
      <c r="P82" s="49"/>
      <c r="Q82" s="49"/>
      <c r="R82" s="49"/>
      <c r="S82" s="49"/>
      <c r="T82" s="49"/>
      <c r="U82" s="49"/>
      <c r="V82" s="49"/>
    </row>
    <row r="83" spans="13:22" ht="13.5">
      <c r="M83" s="49"/>
      <c r="N83" s="49"/>
      <c r="O83" s="49"/>
      <c r="P83" s="49"/>
      <c r="Q83" s="49"/>
      <c r="R83" s="49"/>
      <c r="S83" s="49"/>
      <c r="T83" s="49"/>
      <c r="U83" s="49"/>
      <c r="V83" s="49"/>
    </row>
    <row r="84" spans="13:22" ht="13.5">
      <c r="M84" s="49"/>
      <c r="N84" s="49"/>
      <c r="O84" s="49"/>
      <c r="P84" s="49"/>
      <c r="Q84" s="49"/>
      <c r="R84" s="49"/>
      <c r="S84" s="49"/>
      <c r="T84" s="49"/>
      <c r="U84" s="49"/>
      <c r="V84" s="49"/>
    </row>
    <row r="85" spans="13:22" ht="13.5">
      <c r="M85" s="49"/>
      <c r="N85" s="49"/>
      <c r="O85" s="49"/>
      <c r="P85" s="49"/>
      <c r="Q85" s="49"/>
      <c r="R85" s="49"/>
      <c r="S85" s="49"/>
      <c r="T85" s="49"/>
      <c r="U85" s="49"/>
      <c r="V85" s="49"/>
    </row>
    <row r="86" spans="13:22" ht="13.5">
      <c r="M86" s="49"/>
      <c r="N86" s="49"/>
      <c r="O86" s="49"/>
      <c r="P86" s="49"/>
      <c r="Q86" s="49"/>
      <c r="R86" s="49"/>
      <c r="S86" s="49"/>
      <c r="T86" s="49"/>
      <c r="U86" s="49"/>
      <c r="V86" s="49"/>
    </row>
    <row r="87" spans="13:22" ht="13.5">
      <c r="M87" s="49"/>
      <c r="N87" s="49"/>
      <c r="O87" s="49"/>
      <c r="P87" s="49"/>
      <c r="Q87" s="49"/>
      <c r="R87" s="49"/>
      <c r="S87" s="49"/>
      <c r="T87" s="49"/>
      <c r="U87" s="49"/>
      <c r="V87" s="49"/>
    </row>
    <row r="88" spans="13:22" ht="13.5">
      <c r="M88" s="49"/>
      <c r="N88" s="49"/>
      <c r="O88" s="49"/>
      <c r="P88" s="49"/>
      <c r="Q88" s="49"/>
      <c r="R88" s="49"/>
      <c r="S88" s="49"/>
      <c r="T88" s="49"/>
      <c r="U88" s="49"/>
      <c r="V88" s="49"/>
    </row>
    <row r="89" spans="13:22" ht="13.5">
      <c r="M89" s="49"/>
      <c r="N89" s="49"/>
      <c r="O89" s="49"/>
      <c r="P89" s="49"/>
      <c r="Q89" s="49"/>
      <c r="R89" s="49"/>
      <c r="S89" s="49"/>
      <c r="T89" s="49"/>
      <c r="U89" s="49"/>
      <c r="V89" s="49"/>
    </row>
    <row r="90" spans="13:22" ht="13.5">
      <c r="M90" s="49"/>
      <c r="N90" s="49"/>
      <c r="O90" s="49"/>
      <c r="P90" s="49"/>
      <c r="Q90" s="49"/>
      <c r="R90" s="49"/>
      <c r="S90" s="49"/>
      <c r="T90" s="49"/>
      <c r="U90" s="49"/>
      <c r="V90" s="49"/>
    </row>
    <row r="91" spans="13:22" ht="13.5">
      <c r="M91" s="49"/>
      <c r="N91" s="49"/>
      <c r="O91" s="49"/>
      <c r="P91" s="49"/>
      <c r="Q91" s="49"/>
      <c r="R91" s="49"/>
      <c r="S91" s="49"/>
      <c r="T91" s="49"/>
      <c r="U91" s="49"/>
      <c r="V91" s="49"/>
    </row>
    <row r="92" spans="13:22" ht="13.5">
      <c r="M92" s="49"/>
      <c r="N92" s="49"/>
      <c r="O92" s="49"/>
      <c r="P92" s="49"/>
      <c r="Q92" s="49"/>
      <c r="R92" s="49"/>
      <c r="S92" s="49"/>
      <c r="T92" s="49"/>
      <c r="U92" s="49"/>
      <c r="V92" s="49"/>
    </row>
    <row r="93" spans="13:22" ht="13.5">
      <c r="M93" s="49"/>
      <c r="N93" s="49"/>
      <c r="O93" s="49"/>
      <c r="P93" s="49"/>
      <c r="Q93" s="49"/>
      <c r="R93" s="49"/>
      <c r="S93" s="49"/>
      <c r="T93" s="49"/>
      <c r="U93" s="49"/>
      <c r="V93" s="49"/>
    </row>
    <row r="94" spans="13:22" ht="13.5">
      <c r="M94" s="49"/>
      <c r="N94" s="49"/>
      <c r="O94" s="49"/>
      <c r="P94" s="49"/>
      <c r="Q94" s="49"/>
      <c r="R94" s="49"/>
      <c r="S94" s="49"/>
      <c r="T94" s="49"/>
      <c r="U94" s="49"/>
      <c r="V94" s="49"/>
    </row>
    <row r="95" spans="13:22" ht="13.5">
      <c r="M95" s="49"/>
      <c r="N95" s="49"/>
      <c r="O95" s="49"/>
      <c r="P95" s="49"/>
      <c r="Q95" s="49"/>
      <c r="R95" s="49"/>
      <c r="S95" s="49"/>
      <c r="T95" s="49"/>
      <c r="U95" s="49"/>
      <c r="V95" s="49"/>
    </row>
    <row r="96" spans="13:22" ht="13.5">
      <c r="M96" s="49"/>
      <c r="N96" s="49"/>
      <c r="O96" s="49"/>
      <c r="P96" s="49"/>
      <c r="Q96" s="49"/>
      <c r="R96" s="49"/>
      <c r="S96" s="49"/>
      <c r="T96" s="49"/>
      <c r="U96" s="49"/>
      <c r="V96" s="49"/>
    </row>
    <row r="97" spans="13:22" ht="13.5">
      <c r="M97" s="49"/>
      <c r="N97" s="49"/>
      <c r="O97" s="49"/>
      <c r="P97" s="49"/>
      <c r="Q97" s="49"/>
      <c r="R97" s="49"/>
      <c r="S97" s="49"/>
      <c r="T97" s="49"/>
      <c r="U97" s="49"/>
      <c r="V97" s="49"/>
    </row>
    <row r="98" spans="13:22" ht="13.5">
      <c r="M98" s="49"/>
      <c r="N98" s="49"/>
      <c r="O98" s="49"/>
      <c r="P98" s="49"/>
      <c r="Q98" s="49"/>
      <c r="R98" s="49"/>
      <c r="S98" s="49"/>
      <c r="T98" s="49"/>
      <c r="U98" s="49"/>
      <c r="V98" s="49"/>
    </row>
    <row r="99" spans="13:22" ht="13.5">
      <c r="M99" s="49"/>
      <c r="N99" s="49"/>
      <c r="O99" s="49"/>
      <c r="P99" s="49"/>
      <c r="Q99" s="49"/>
      <c r="R99" s="49"/>
      <c r="S99" s="49"/>
      <c r="T99" s="49"/>
      <c r="U99" s="49"/>
      <c r="V99" s="49"/>
    </row>
    <row r="100" spans="13:22" ht="13.5">
      <c r="M100" s="49"/>
      <c r="N100" s="49"/>
      <c r="O100" s="49"/>
      <c r="P100" s="49"/>
      <c r="Q100" s="49"/>
      <c r="R100" s="49"/>
      <c r="S100" s="49"/>
      <c r="T100" s="49"/>
      <c r="U100" s="49"/>
      <c r="V100" s="49"/>
    </row>
    <row r="101" spans="13:22" ht="13.5">
      <c r="M101" s="49"/>
      <c r="N101" s="49"/>
      <c r="O101" s="49"/>
      <c r="P101" s="49"/>
      <c r="Q101" s="49"/>
      <c r="R101" s="49"/>
      <c r="S101" s="49"/>
      <c r="T101" s="49"/>
      <c r="U101" s="49"/>
      <c r="V101" s="49"/>
    </row>
    <row r="102" spans="13:22" ht="13.5">
      <c r="M102" s="49"/>
      <c r="N102" s="49"/>
      <c r="O102" s="49"/>
      <c r="P102" s="49"/>
      <c r="Q102" s="49"/>
      <c r="R102" s="49"/>
      <c r="S102" s="49"/>
      <c r="T102" s="49"/>
      <c r="U102" s="49"/>
      <c r="V102" s="49"/>
    </row>
    <row r="103" spans="13:22" ht="13.5">
      <c r="M103" s="49"/>
      <c r="N103" s="49"/>
      <c r="O103" s="49"/>
      <c r="P103" s="49"/>
      <c r="Q103" s="49"/>
      <c r="R103" s="49"/>
      <c r="S103" s="49"/>
      <c r="T103" s="49"/>
      <c r="U103" s="49"/>
      <c r="V103" s="49"/>
    </row>
    <row r="104" spans="13:22" ht="13.5">
      <c r="M104" s="49"/>
      <c r="N104" s="49"/>
      <c r="O104" s="49"/>
      <c r="P104" s="49"/>
      <c r="Q104" s="49"/>
      <c r="R104" s="49"/>
      <c r="S104" s="49"/>
      <c r="T104" s="49"/>
      <c r="U104" s="49"/>
      <c r="V104" s="49"/>
    </row>
    <row r="105" spans="13:22" ht="13.5">
      <c r="M105" s="49"/>
      <c r="N105" s="49"/>
      <c r="O105" s="49"/>
      <c r="P105" s="49"/>
      <c r="Q105" s="49"/>
      <c r="R105" s="49"/>
      <c r="S105" s="49"/>
      <c r="T105" s="49"/>
      <c r="U105" s="49"/>
      <c r="V105" s="49"/>
    </row>
    <row r="106" spans="13:22" ht="13.5">
      <c r="M106" s="49"/>
      <c r="N106" s="49"/>
      <c r="O106" s="49"/>
      <c r="P106" s="49"/>
      <c r="Q106" s="49"/>
      <c r="R106" s="49"/>
      <c r="S106" s="49"/>
      <c r="T106" s="49"/>
      <c r="U106" s="49"/>
      <c r="V106" s="49"/>
    </row>
    <row r="107" spans="13:22" ht="13.5">
      <c r="M107" s="49"/>
      <c r="N107" s="49"/>
      <c r="O107" s="49"/>
      <c r="P107" s="49"/>
      <c r="Q107" s="49"/>
      <c r="R107" s="49"/>
      <c r="S107" s="49"/>
      <c r="T107" s="49"/>
      <c r="U107" s="49"/>
      <c r="V107" s="49"/>
    </row>
    <row r="108" spans="13:22" ht="13.5">
      <c r="M108" s="49"/>
      <c r="N108" s="49"/>
      <c r="O108" s="49"/>
      <c r="P108" s="49"/>
      <c r="Q108" s="49"/>
      <c r="R108" s="49"/>
      <c r="S108" s="49"/>
      <c r="T108" s="49"/>
      <c r="U108" s="49"/>
      <c r="V108" s="49"/>
    </row>
    <row r="109" spans="13:22" ht="13.5">
      <c r="M109" s="49"/>
      <c r="N109" s="49"/>
      <c r="O109" s="49"/>
      <c r="P109" s="49"/>
      <c r="Q109" s="49"/>
      <c r="R109" s="49"/>
      <c r="S109" s="49"/>
      <c r="T109" s="49"/>
      <c r="U109" s="49"/>
      <c r="V109" s="49"/>
    </row>
    <row r="110" spans="13:22" ht="13.5">
      <c r="M110" s="49"/>
      <c r="N110" s="49"/>
      <c r="O110" s="49"/>
      <c r="P110" s="49"/>
      <c r="Q110" s="49"/>
      <c r="R110" s="49"/>
      <c r="S110" s="49"/>
      <c r="T110" s="49"/>
      <c r="U110" s="49"/>
      <c r="V110" s="49"/>
    </row>
    <row r="111" spans="13:22" ht="13.5">
      <c r="M111" s="49"/>
      <c r="N111" s="49"/>
      <c r="O111" s="49"/>
      <c r="P111" s="49"/>
      <c r="Q111" s="49"/>
      <c r="R111" s="49"/>
      <c r="S111" s="49"/>
      <c r="T111" s="49"/>
      <c r="U111" s="49"/>
      <c r="V111" s="49"/>
    </row>
    <row r="112" spans="13:22" ht="13.5">
      <c r="M112" s="49"/>
      <c r="N112" s="49"/>
      <c r="O112" s="49"/>
      <c r="P112" s="49"/>
      <c r="Q112" s="49"/>
      <c r="R112" s="49"/>
      <c r="S112" s="49"/>
      <c r="T112" s="49"/>
      <c r="U112" s="49"/>
      <c r="V112" s="49"/>
    </row>
    <row r="113" spans="13:22" ht="13.5">
      <c r="M113" s="49"/>
      <c r="N113" s="49"/>
      <c r="O113" s="49"/>
      <c r="P113" s="49"/>
      <c r="Q113" s="49"/>
      <c r="R113" s="49"/>
      <c r="S113" s="49"/>
      <c r="T113" s="49"/>
      <c r="U113" s="49"/>
      <c r="V113" s="49"/>
    </row>
    <row r="114" spans="13:22" ht="13.5">
      <c r="M114" s="49"/>
      <c r="N114" s="49"/>
      <c r="O114" s="49"/>
      <c r="P114" s="49"/>
      <c r="Q114" s="49"/>
      <c r="R114" s="49"/>
      <c r="S114" s="49"/>
      <c r="T114" s="49"/>
      <c r="U114" s="49"/>
      <c r="V114" s="49"/>
    </row>
    <row r="115" spans="13:22" ht="13.5">
      <c r="M115" s="49"/>
      <c r="N115" s="49"/>
      <c r="O115" s="49"/>
      <c r="P115" s="49"/>
      <c r="Q115" s="49"/>
      <c r="R115" s="49"/>
      <c r="S115" s="49"/>
      <c r="T115" s="49"/>
      <c r="U115" s="49"/>
      <c r="V115" s="49"/>
    </row>
    <row r="116" spans="13:22" ht="13.5">
      <c r="M116" s="49"/>
      <c r="N116" s="49"/>
      <c r="O116" s="49"/>
      <c r="P116" s="49"/>
      <c r="Q116" s="49"/>
      <c r="R116" s="49"/>
      <c r="S116" s="49"/>
      <c r="T116" s="49"/>
      <c r="U116" s="49"/>
      <c r="V116" s="49"/>
    </row>
    <row r="117" spans="13:22" ht="13.5">
      <c r="M117" s="49"/>
      <c r="N117" s="49"/>
      <c r="O117" s="49"/>
      <c r="P117" s="49"/>
      <c r="Q117" s="49"/>
      <c r="R117" s="49"/>
      <c r="S117" s="49"/>
      <c r="T117" s="49"/>
      <c r="U117" s="49"/>
      <c r="V117" s="49"/>
    </row>
    <row r="118" spans="13:22" ht="13.5">
      <c r="M118" s="49"/>
      <c r="N118" s="49"/>
      <c r="O118" s="49"/>
      <c r="P118" s="49"/>
      <c r="Q118" s="49"/>
      <c r="R118" s="49"/>
      <c r="S118" s="49"/>
      <c r="T118" s="49"/>
      <c r="U118" s="49"/>
      <c r="V118" s="49"/>
    </row>
    <row r="119" spans="13:22" ht="13.5">
      <c r="M119" s="49"/>
      <c r="N119" s="49"/>
      <c r="O119" s="49"/>
      <c r="P119" s="49"/>
      <c r="Q119" s="49"/>
      <c r="R119" s="49"/>
      <c r="S119" s="49"/>
      <c r="T119" s="49"/>
      <c r="U119" s="49"/>
      <c r="V119" s="49"/>
    </row>
    <row r="120" spans="13:22" ht="13.5">
      <c r="M120" s="49"/>
      <c r="N120" s="49"/>
      <c r="O120" s="49"/>
      <c r="P120" s="49"/>
      <c r="Q120" s="49"/>
      <c r="R120" s="49"/>
      <c r="S120" s="49"/>
      <c r="T120" s="49"/>
      <c r="U120" s="49"/>
      <c r="V120" s="49"/>
    </row>
    <row r="121" spans="13:22" ht="13.5">
      <c r="M121" s="49"/>
      <c r="N121" s="49"/>
      <c r="O121" s="49"/>
      <c r="P121" s="49"/>
      <c r="Q121" s="49"/>
      <c r="R121" s="49"/>
      <c r="S121" s="49"/>
      <c r="T121" s="49"/>
      <c r="U121" s="49"/>
      <c r="V121" s="49"/>
    </row>
    <row r="122" spans="13:22" ht="13.5">
      <c r="M122" s="49"/>
      <c r="N122" s="49"/>
      <c r="O122" s="49"/>
      <c r="P122" s="49"/>
      <c r="Q122" s="49"/>
      <c r="R122" s="49"/>
      <c r="S122" s="49"/>
      <c r="T122" s="49"/>
      <c r="U122" s="49"/>
      <c r="V122" s="49"/>
    </row>
    <row r="123" spans="13:22" ht="13.5">
      <c r="M123" s="49"/>
      <c r="N123" s="49"/>
      <c r="O123" s="49"/>
      <c r="P123" s="49"/>
      <c r="Q123" s="49"/>
      <c r="R123" s="49"/>
      <c r="S123" s="49"/>
      <c r="T123" s="49"/>
      <c r="U123" s="49"/>
      <c r="V123" s="49"/>
    </row>
    <row r="124" spans="13:22" ht="13.5">
      <c r="M124" s="49"/>
      <c r="N124" s="49"/>
      <c r="O124" s="49"/>
      <c r="P124" s="49"/>
      <c r="Q124" s="49"/>
      <c r="R124" s="49"/>
      <c r="S124" s="49"/>
      <c r="T124" s="49"/>
      <c r="U124" s="49"/>
      <c r="V124" s="49"/>
    </row>
    <row r="125" spans="13:22" ht="13.5">
      <c r="M125" s="49"/>
      <c r="N125" s="49"/>
      <c r="O125" s="49"/>
      <c r="P125" s="49"/>
      <c r="Q125" s="49"/>
      <c r="R125" s="49"/>
      <c r="S125" s="49"/>
      <c r="T125" s="49"/>
      <c r="U125" s="49"/>
      <c r="V125" s="49"/>
    </row>
    <row r="126" spans="13:22" ht="13.5">
      <c r="M126" s="49"/>
      <c r="N126" s="49"/>
      <c r="O126" s="49"/>
      <c r="P126" s="49"/>
      <c r="Q126" s="49"/>
      <c r="R126" s="49"/>
      <c r="S126" s="49"/>
      <c r="T126" s="49"/>
      <c r="U126" s="49"/>
      <c r="V126" s="49"/>
    </row>
    <row r="127" spans="13:22" ht="13.5">
      <c r="M127" s="49"/>
      <c r="N127" s="49"/>
      <c r="O127" s="49"/>
      <c r="P127" s="49"/>
      <c r="Q127" s="49"/>
      <c r="R127" s="49"/>
      <c r="S127" s="49"/>
      <c r="T127" s="49"/>
      <c r="U127" s="49"/>
      <c r="V127" s="49"/>
    </row>
    <row r="128" spans="13:22" ht="13.5">
      <c r="M128" s="49"/>
      <c r="N128" s="49"/>
      <c r="O128" s="49"/>
      <c r="P128" s="49"/>
      <c r="Q128" s="49"/>
      <c r="R128" s="49"/>
      <c r="S128" s="49"/>
      <c r="T128" s="49"/>
      <c r="U128" s="49"/>
      <c r="V128" s="49"/>
    </row>
    <row r="129" spans="13:22" ht="13.5">
      <c r="M129" s="49"/>
      <c r="N129" s="49"/>
      <c r="O129" s="49"/>
      <c r="P129" s="49"/>
      <c r="Q129" s="49"/>
      <c r="R129" s="49"/>
      <c r="S129" s="49"/>
      <c r="T129" s="49"/>
      <c r="U129" s="49"/>
      <c r="V129" s="49"/>
    </row>
    <row r="130" spans="13:22" ht="13.5">
      <c r="M130" s="49"/>
      <c r="N130" s="49"/>
      <c r="O130" s="49"/>
      <c r="P130" s="49"/>
      <c r="Q130" s="49"/>
      <c r="R130" s="49"/>
      <c r="S130" s="49"/>
      <c r="T130" s="49"/>
      <c r="U130" s="49"/>
      <c r="V130" s="49"/>
    </row>
    <row r="131" spans="13:22" ht="13.5">
      <c r="M131" s="49"/>
      <c r="N131" s="49"/>
      <c r="O131" s="49"/>
      <c r="P131" s="49"/>
      <c r="Q131" s="49"/>
      <c r="R131" s="49"/>
      <c r="S131" s="49"/>
      <c r="T131" s="49"/>
      <c r="U131" s="49"/>
      <c r="V131" s="49"/>
    </row>
    <row r="132" spans="13:22" ht="13.5">
      <c r="M132" s="49"/>
      <c r="N132" s="49"/>
      <c r="O132" s="49"/>
      <c r="P132" s="49"/>
      <c r="Q132" s="49"/>
      <c r="R132" s="49"/>
      <c r="S132" s="49"/>
      <c r="T132" s="49"/>
      <c r="U132" s="49"/>
      <c r="V132" s="49"/>
    </row>
    <row r="133" spans="13:22" ht="13.5">
      <c r="M133" s="49"/>
      <c r="N133" s="49"/>
      <c r="O133" s="49"/>
      <c r="P133" s="49"/>
      <c r="Q133" s="49"/>
      <c r="R133" s="49"/>
      <c r="S133" s="49"/>
      <c r="T133" s="49"/>
      <c r="U133" s="49"/>
      <c r="V133" s="49"/>
    </row>
    <row r="134" spans="13:22" ht="13.5">
      <c r="M134" s="49"/>
      <c r="N134" s="49"/>
      <c r="O134" s="49"/>
      <c r="P134" s="49"/>
      <c r="Q134" s="49"/>
      <c r="R134" s="49"/>
      <c r="S134" s="49"/>
      <c r="T134" s="49"/>
      <c r="U134" s="49"/>
      <c r="V134" s="49"/>
    </row>
    <row r="135" spans="13:22" ht="13.5">
      <c r="M135" s="49"/>
      <c r="N135" s="49"/>
      <c r="O135" s="49"/>
      <c r="P135" s="49"/>
      <c r="Q135" s="49"/>
      <c r="R135" s="49"/>
      <c r="S135" s="49"/>
      <c r="T135" s="49"/>
      <c r="U135" s="49"/>
      <c r="V135" s="49"/>
    </row>
    <row r="136" spans="13:22" ht="13.5">
      <c r="M136" s="49"/>
      <c r="N136" s="49"/>
      <c r="O136" s="49"/>
      <c r="P136" s="49"/>
      <c r="Q136" s="49"/>
      <c r="R136" s="49"/>
      <c r="S136" s="49"/>
      <c r="T136" s="49"/>
      <c r="U136" s="49"/>
      <c r="V136" s="49"/>
    </row>
    <row r="137" spans="13:22" ht="13.5">
      <c r="M137" s="49"/>
      <c r="N137" s="49"/>
      <c r="O137" s="49"/>
      <c r="P137" s="49"/>
      <c r="Q137" s="49"/>
      <c r="R137" s="49"/>
      <c r="S137" s="49"/>
      <c r="T137" s="49"/>
      <c r="U137" s="49"/>
      <c r="V137" s="49"/>
    </row>
    <row r="138" spans="13:22" ht="13.5">
      <c r="M138" s="49"/>
      <c r="N138" s="49"/>
      <c r="O138" s="49"/>
      <c r="P138" s="49"/>
      <c r="Q138" s="49"/>
      <c r="R138" s="49"/>
      <c r="S138" s="49"/>
      <c r="T138" s="49"/>
      <c r="U138" s="49"/>
      <c r="V138" s="49"/>
    </row>
    <row r="139" spans="13:22" ht="13.5">
      <c r="M139" s="49"/>
      <c r="N139" s="49"/>
      <c r="O139" s="49"/>
      <c r="P139" s="49"/>
      <c r="Q139" s="49"/>
      <c r="R139" s="49"/>
      <c r="S139" s="49"/>
      <c r="T139" s="49"/>
      <c r="U139" s="49"/>
      <c r="V139" s="49"/>
    </row>
    <row r="140" spans="13:22" ht="13.5">
      <c r="M140" s="49"/>
      <c r="N140" s="49"/>
      <c r="O140" s="49"/>
      <c r="P140" s="49"/>
      <c r="Q140" s="49"/>
      <c r="R140" s="49"/>
      <c r="S140" s="49"/>
      <c r="T140" s="49"/>
      <c r="U140" s="49"/>
      <c r="V140" s="49"/>
    </row>
    <row r="141" spans="13:22" ht="13.5">
      <c r="M141" s="49"/>
      <c r="N141" s="49"/>
      <c r="O141" s="49"/>
      <c r="P141" s="49"/>
      <c r="Q141" s="49"/>
      <c r="R141" s="49"/>
      <c r="S141" s="49"/>
      <c r="T141" s="49"/>
      <c r="U141" s="49"/>
      <c r="V141" s="49"/>
    </row>
    <row r="142" spans="13:22" ht="13.5">
      <c r="M142" s="49"/>
      <c r="N142" s="49"/>
      <c r="O142" s="49"/>
      <c r="P142" s="49"/>
      <c r="Q142" s="49"/>
      <c r="R142" s="49"/>
      <c r="S142" s="49"/>
      <c r="T142" s="49"/>
      <c r="U142" s="49"/>
      <c r="V142" s="49"/>
    </row>
    <row r="143" spans="13:22" ht="13.5">
      <c r="M143" s="49"/>
      <c r="N143" s="49"/>
      <c r="O143" s="49"/>
      <c r="P143" s="49"/>
      <c r="Q143" s="49"/>
      <c r="R143" s="49"/>
      <c r="S143" s="49"/>
      <c r="T143" s="49"/>
      <c r="U143" s="49"/>
      <c r="V143" s="49"/>
    </row>
    <row r="144" spans="13:22" ht="13.5">
      <c r="M144" s="49"/>
      <c r="N144" s="49"/>
      <c r="O144" s="49"/>
      <c r="P144" s="49"/>
      <c r="Q144" s="49"/>
      <c r="R144" s="49"/>
      <c r="S144" s="49"/>
      <c r="T144" s="49"/>
      <c r="U144" s="49"/>
      <c r="V144" s="49"/>
    </row>
    <row r="145" spans="13:22" ht="13.5">
      <c r="M145" s="49"/>
      <c r="N145" s="49"/>
      <c r="O145" s="49"/>
      <c r="P145" s="49"/>
      <c r="Q145" s="49"/>
      <c r="R145" s="49"/>
      <c r="S145" s="49"/>
      <c r="T145" s="49"/>
      <c r="U145" s="49"/>
      <c r="V145" s="49"/>
    </row>
    <row r="146" spans="13:22" ht="13.5">
      <c r="M146" s="49"/>
      <c r="N146" s="49"/>
      <c r="O146" s="49"/>
      <c r="P146" s="49"/>
      <c r="Q146" s="49"/>
      <c r="R146" s="49"/>
      <c r="S146" s="49"/>
      <c r="T146" s="49"/>
      <c r="U146" s="49"/>
      <c r="V146" s="49"/>
    </row>
    <row r="147" spans="13:22" ht="13.5">
      <c r="M147" s="49"/>
      <c r="N147" s="49"/>
      <c r="O147" s="49"/>
      <c r="P147" s="49"/>
      <c r="Q147" s="49"/>
      <c r="R147" s="49"/>
      <c r="S147" s="49"/>
      <c r="T147" s="49"/>
      <c r="U147" s="49"/>
      <c r="V147" s="49"/>
    </row>
    <row r="148" spans="13:22" ht="13.5">
      <c r="M148" s="49"/>
      <c r="N148" s="49"/>
      <c r="O148" s="49"/>
      <c r="P148" s="49"/>
      <c r="Q148" s="49"/>
      <c r="R148" s="49"/>
      <c r="S148" s="49"/>
      <c r="T148" s="49"/>
      <c r="U148" s="49"/>
      <c r="V148" s="49"/>
    </row>
    <row r="149" spans="13:22" ht="13.5">
      <c r="M149" s="49"/>
      <c r="N149" s="49"/>
      <c r="O149" s="49"/>
      <c r="P149" s="49"/>
      <c r="Q149" s="49"/>
      <c r="R149" s="49"/>
      <c r="S149" s="49"/>
      <c r="T149" s="49"/>
      <c r="U149" s="49"/>
      <c r="V149" s="49"/>
    </row>
    <row r="150" spans="13:22" ht="13.5">
      <c r="M150" s="49"/>
      <c r="N150" s="49"/>
      <c r="O150" s="49"/>
      <c r="P150" s="49"/>
      <c r="Q150" s="49"/>
      <c r="R150" s="49"/>
      <c r="S150" s="49"/>
      <c r="T150" s="49"/>
      <c r="U150" s="49"/>
      <c r="V150" s="49"/>
    </row>
    <row r="151" spans="13:22" ht="13.5">
      <c r="M151" s="49"/>
      <c r="N151" s="49"/>
      <c r="O151" s="49"/>
      <c r="P151" s="49"/>
      <c r="Q151" s="49"/>
      <c r="R151" s="49"/>
      <c r="S151" s="49"/>
      <c r="T151" s="49"/>
      <c r="U151" s="49"/>
      <c r="V151" s="49"/>
    </row>
    <row r="152" spans="13:22" ht="13.5">
      <c r="M152" s="49"/>
      <c r="N152" s="49"/>
      <c r="O152" s="49"/>
      <c r="P152" s="49"/>
      <c r="Q152" s="49"/>
      <c r="R152" s="49"/>
      <c r="S152" s="49"/>
      <c r="T152" s="49"/>
      <c r="U152" s="49"/>
      <c r="V152" s="49"/>
    </row>
    <row r="153" spans="13:22" ht="13.5">
      <c r="M153" s="49"/>
      <c r="N153" s="49"/>
      <c r="O153" s="49"/>
      <c r="P153" s="49"/>
      <c r="Q153" s="49"/>
      <c r="R153" s="49"/>
      <c r="S153" s="49"/>
      <c r="T153" s="49"/>
      <c r="U153" s="49"/>
      <c r="V153" s="49"/>
    </row>
    <row r="154" spans="13:22" ht="13.5">
      <c r="M154" s="49"/>
      <c r="N154" s="49"/>
      <c r="O154" s="49"/>
      <c r="P154" s="49"/>
      <c r="Q154" s="49"/>
      <c r="R154" s="49"/>
      <c r="S154" s="49"/>
      <c r="T154" s="49"/>
      <c r="U154" s="49"/>
      <c r="V154" s="49"/>
    </row>
    <row r="155" spans="13:22" ht="13.5">
      <c r="M155" s="49"/>
      <c r="N155" s="49"/>
      <c r="O155" s="49"/>
      <c r="P155" s="49"/>
      <c r="Q155" s="49"/>
      <c r="R155" s="49"/>
      <c r="S155" s="49"/>
      <c r="T155" s="49"/>
      <c r="U155" s="49"/>
      <c r="V155" s="49"/>
    </row>
    <row r="156" spans="13:22" ht="13.5">
      <c r="M156" s="49"/>
      <c r="N156" s="49"/>
      <c r="O156" s="49"/>
      <c r="P156" s="49"/>
      <c r="Q156" s="49"/>
      <c r="R156" s="49"/>
      <c r="S156" s="49"/>
      <c r="T156" s="49"/>
      <c r="U156" s="49"/>
      <c r="V156" s="49"/>
    </row>
    <row r="157" spans="13:22" ht="13.5">
      <c r="M157" s="49"/>
      <c r="N157" s="49"/>
      <c r="O157" s="49"/>
      <c r="P157" s="49"/>
      <c r="Q157" s="49"/>
      <c r="R157" s="49"/>
      <c r="S157" s="49"/>
      <c r="T157" s="49"/>
      <c r="U157" s="49"/>
      <c r="V157" s="49"/>
    </row>
    <row r="158" spans="13:22" ht="13.5">
      <c r="M158" s="49"/>
      <c r="N158" s="49"/>
      <c r="O158" s="49"/>
      <c r="P158" s="49"/>
      <c r="Q158" s="49"/>
      <c r="R158" s="49"/>
      <c r="S158" s="49"/>
      <c r="T158" s="49"/>
      <c r="U158" s="49"/>
      <c r="V158" s="49"/>
    </row>
    <row r="159" spans="13:22" ht="13.5">
      <c r="M159" s="49"/>
      <c r="N159" s="49"/>
      <c r="O159" s="49"/>
      <c r="P159" s="49"/>
      <c r="Q159" s="49"/>
      <c r="R159" s="49"/>
      <c r="S159" s="49"/>
      <c r="T159" s="49"/>
      <c r="U159" s="49"/>
      <c r="V159" s="49"/>
    </row>
    <row r="160" spans="13:22" ht="13.5">
      <c r="M160" s="49"/>
      <c r="N160" s="49"/>
      <c r="O160" s="49"/>
      <c r="P160" s="49"/>
      <c r="Q160" s="49"/>
      <c r="R160" s="49"/>
      <c r="S160" s="49"/>
      <c r="T160" s="49"/>
      <c r="U160" s="49"/>
      <c r="V160" s="49"/>
    </row>
    <row r="161" spans="13:22" ht="13.5">
      <c r="M161" s="49"/>
      <c r="N161" s="49"/>
      <c r="O161" s="49"/>
      <c r="P161" s="49"/>
      <c r="Q161" s="49"/>
      <c r="R161" s="49"/>
      <c r="S161" s="49"/>
      <c r="T161" s="49"/>
      <c r="U161" s="49"/>
      <c r="V161" s="49"/>
    </row>
    <row r="162" spans="13:22" ht="13.5">
      <c r="M162" s="49"/>
      <c r="N162" s="49"/>
      <c r="O162" s="49"/>
      <c r="P162" s="49"/>
      <c r="Q162" s="49"/>
      <c r="R162" s="49"/>
      <c r="S162" s="49"/>
      <c r="T162" s="49"/>
      <c r="U162" s="49"/>
      <c r="V162" s="49"/>
    </row>
    <row r="163" spans="13:22" ht="13.5">
      <c r="M163" s="49"/>
      <c r="N163" s="49"/>
      <c r="O163" s="49"/>
      <c r="P163" s="49"/>
      <c r="Q163" s="49"/>
      <c r="R163" s="49"/>
      <c r="S163" s="49"/>
      <c r="T163" s="49"/>
      <c r="U163" s="49"/>
      <c r="V163" s="49"/>
    </row>
    <row r="164" spans="13:22" ht="13.5">
      <c r="M164" s="49"/>
      <c r="N164" s="49"/>
      <c r="O164" s="49"/>
      <c r="P164" s="49"/>
      <c r="Q164" s="49"/>
      <c r="R164" s="49"/>
      <c r="S164" s="49"/>
      <c r="T164" s="49"/>
      <c r="U164" s="49"/>
      <c r="V164" s="49"/>
    </row>
    <row r="165" spans="13:22" ht="13.5">
      <c r="M165" s="49"/>
      <c r="N165" s="49"/>
      <c r="O165" s="49"/>
      <c r="P165" s="49"/>
      <c r="Q165" s="49"/>
      <c r="R165" s="49"/>
      <c r="S165" s="49"/>
      <c r="T165" s="49"/>
      <c r="U165" s="49"/>
      <c r="V165" s="49"/>
    </row>
    <row r="166" spans="13:22" ht="13.5">
      <c r="M166" s="49"/>
      <c r="N166" s="49"/>
      <c r="O166" s="49"/>
      <c r="P166" s="49"/>
      <c r="Q166" s="49"/>
      <c r="R166" s="49"/>
      <c r="S166" s="49"/>
      <c r="T166" s="49"/>
      <c r="U166" s="49"/>
      <c r="V166" s="49"/>
    </row>
    <row r="167" spans="13:22" ht="13.5">
      <c r="M167" s="49"/>
      <c r="N167" s="49"/>
      <c r="O167" s="49"/>
      <c r="P167" s="49"/>
      <c r="Q167" s="49"/>
      <c r="R167" s="49"/>
      <c r="S167" s="49"/>
      <c r="T167" s="49"/>
      <c r="U167" s="49"/>
      <c r="V167" s="49"/>
    </row>
    <row r="168" spans="13:22" ht="13.5">
      <c r="M168" s="49"/>
      <c r="N168" s="49"/>
      <c r="O168" s="49"/>
      <c r="P168" s="49"/>
      <c r="Q168" s="49"/>
      <c r="R168" s="49"/>
      <c r="S168" s="49"/>
      <c r="T168" s="49"/>
      <c r="U168" s="49"/>
      <c r="V168" s="49"/>
    </row>
    <row r="169" spans="13:22" ht="13.5">
      <c r="M169" s="49"/>
      <c r="N169" s="49"/>
      <c r="O169" s="49"/>
      <c r="P169" s="49"/>
      <c r="Q169" s="49"/>
      <c r="R169" s="49"/>
      <c r="S169" s="49"/>
      <c r="T169" s="49"/>
      <c r="U169" s="49"/>
      <c r="V169" s="49"/>
    </row>
    <row r="170" spans="13:22" ht="13.5">
      <c r="M170" s="49"/>
      <c r="N170" s="49"/>
      <c r="O170" s="49"/>
      <c r="P170" s="49"/>
      <c r="Q170" s="49"/>
      <c r="R170" s="49"/>
      <c r="S170" s="49"/>
      <c r="T170" s="49"/>
      <c r="U170" s="49"/>
      <c r="V170" s="49"/>
    </row>
    <row r="171" spans="13:22" ht="13.5">
      <c r="M171" s="49"/>
      <c r="N171" s="49"/>
      <c r="O171" s="49"/>
      <c r="P171" s="49"/>
      <c r="Q171" s="49"/>
      <c r="R171" s="49"/>
      <c r="S171" s="49"/>
      <c r="T171" s="49"/>
      <c r="U171" s="49"/>
      <c r="V171" s="49"/>
    </row>
    <row r="172" spans="13:22" ht="13.5">
      <c r="M172" s="49"/>
      <c r="N172" s="49"/>
      <c r="O172" s="49"/>
      <c r="P172" s="49"/>
      <c r="Q172" s="49"/>
      <c r="R172" s="49"/>
      <c r="S172" s="49"/>
      <c r="T172" s="49"/>
      <c r="U172" s="49"/>
      <c r="V172" s="49"/>
    </row>
    <row r="173" spans="13:22" ht="13.5">
      <c r="M173" s="49"/>
      <c r="N173" s="49"/>
      <c r="O173" s="49"/>
      <c r="P173" s="49"/>
      <c r="Q173" s="49"/>
      <c r="R173" s="49"/>
      <c r="S173" s="49"/>
      <c r="T173" s="49"/>
      <c r="U173" s="49"/>
      <c r="V173" s="49"/>
    </row>
    <row r="174" spans="13:22" ht="13.5">
      <c r="M174" s="49"/>
      <c r="N174" s="49"/>
      <c r="O174" s="49"/>
      <c r="P174" s="49"/>
      <c r="Q174" s="49"/>
      <c r="R174" s="49"/>
      <c r="S174" s="49"/>
      <c r="T174" s="49"/>
      <c r="U174" s="49"/>
      <c r="V174" s="49"/>
    </row>
    <row r="175" spans="13:22" ht="13.5">
      <c r="M175" s="49"/>
      <c r="N175" s="49"/>
      <c r="O175" s="49"/>
      <c r="P175" s="49"/>
      <c r="Q175" s="49"/>
      <c r="R175" s="49"/>
      <c r="S175" s="49"/>
      <c r="T175" s="49"/>
      <c r="U175" s="49"/>
      <c r="V175" s="49"/>
    </row>
    <row r="176" spans="13:22" ht="13.5">
      <c r="M176" s="49"/>
      <c r="N176" s="49"/>
      <c r="O176" s="49"/>
      <c r="P176" s="49"/>
      <c r="Q176" s="49"/>
      <c r="R176" s="49"/>
      <c r="S176" s="49"/>
      <c r="T176" s="49"/>
      <c r="U176" s="49"/>
      <c r="V176" s="49"/>
    </row>
    <row r="177" spans="13:22" ht="13.5">
      <c r="M177" s="49"/>
      <c r="N177" s="49"/>
      <c r="O177" s="49"/>
      <c r="P177" s="49"/>
      <c r="Q177" s="49"/>
      <c r="R177" s="49"/>
      <c r="S177" s="49"/>
      <c r="T177" s="49"/>
      <c r="U177" s="49"/>
      <c r="V177" s="49"/>
    </row>
    <row r="178" spans="13:22" ht="13.5">
      <c r="M178" s="49"/>
      <c r="N178" s="49"/>
      <c r="O178" s="49"/>
      <c r="P178" s="49"/>
      <c r="Q178" s="49"/>
      <c r="R178" s="49"/>
      <c r="S178" s="49"/>
      <c r="T178" s="49"/>
      <c r="U178" s="49"/>
      <c r="V178" s="49"/>
    </row>
    <row r="179" spans="13:22" ht="13.5">
      <c r="M179" s="49"/>
      <c r="N179" s="49"/>
      <c r="O179" s="49"/>
      <c r="P179" s="49"/>
      <c r="Q179" s="49"/>
      <c r="R179" s="49"/>
      <c r="S179" s="49"/>
      <c r="T179" s="49"/>
      <c r="U179" s="49"/>
      <c r="V179" s="49"/>
    </row>
    <row r="180" spans="13:22" ht="13.5">
      <c r="M180" s="49"/>
      <c r="N180" s="49"/>
      <c r="O180" s="49"/>
      <c r="P180" s="49"/>
      <c r="Q180" s="49"/>
      <c r="R180" s="49"/>
      <c r="S180" s="49"/>
      <c r="T180" s="49"/>
      <c r="U180" s="49"/>
      <c r="V180" s="49"/>
    </row>
    <row r="181" spans="13:22" ht="13.5">
      <c r="M181" s="49"/>
      <c r="N181" s="49"/>
      <c r="O181" s="49"/>
      <c r="P181" s="49"/>
      <c r="Q181" s="49"/>
      <c r="R181" s="49"/>
      <c r="S181" s="49"/>
      <c r="T181" s="49"/>
      <c r="U181" s="49"/>
      <c r="V181" s="49"/>
    </row>
    <row r="182" spans="13:22" ht="13.5">
      <c r="M182" s="49"/>
      <c r="N182" s="49"/>
      <c r="O182" s="49"/>
      <c r="P182" s="49"/>
      <c r="Q182" s="49"/>
      <c r="R182" s="49"/>
      <c r="S182" s="49"/>
      <c r="T182" s="49"/>
      <c r="U182" s="49"/>
      <c r="V182" s="49"/>
    </row>
    <row r="183" spans="13:22" ht="13.5">
      <c r="M183" s="49"/>
      <c r="N183" s="49"/>
      <c r="O183" s="49"/>
      <c r="P183" s="49"/>
      <c r="Q183" s="49"/>
      <c r="R183" s="49"/>
      <c r="S183" s="49"/>
      <c r="T183" s="49"/>
      <c r="U183" s="49"/>
      <c r="V183" s="49"/>
    </row>
    <row r="184" spans="13:22" ht="13.5">
      <c r="M184" s="49"/>
      <c r="N184" s="49"/>
      <c r="O184" s="49"/>
      <c r="P184" s="49"/>
      <c r="Q184" s="49"/>
      <c r="R184" s="49"/>
      <c r="S184" s="49"/>
      <c r="T184" s="49"/>
      <c r="U184" s="49"/>
      <c r="V184" s="49"/>
    </row>
    <row r="185" spans="13:22" ht="13.5">
      <c r="M185" s="49"/>
      <c r="N185" s="49"/>
      <c r="O185" s="49"/>
      <c r="P185" s="49"/>
      <c r="Q185" s="49"/>
      <c r="R185" s="49"/>
      <c r="S185" s="49"/>
      <c r="T185" s="49"/>
      <c r="U185" s="49"/>
      <c r="V185" s="49"/>
    </row>
    <row r="186" spans="13:22" ht="13.5">
      <c r="M186" s="49"/>
      <c r="N186" s="49"/>
      <c r="O186" s="49"/>
      <c r="P186" s="49"/>
      <c r="Q186" s="49"/>
      <c r="R186" s="49"/>
      <c r="S186" s="49"/>
      <c r="T186" s="49"/>
      <c r="U186" s="49"/>
      <c r="V186" s="49"/>
    </row>
    <row r="187" spans="13:22" ht="13.5">
      <c r="M187" s="49"/>
      <c r="N187" s="49"/>
      <c r="O187" s="49"/>
      <c r="P187" s="49"/>
      <c r="Q187" s="49"/>
      <c r="R187" s="49"/>
      <c r="S187" s="49"/>
      <c r="T187" s="49"/>
      <c r="U187" s="49"/>
      <c r="V187" s="49"/>
    </row>
    <row r="188" spans="13:22" ht="13.5">
      <c r="M188" s="49"/>
      <c r="N188" s="49"/>
      <c r="O188" s="49"/>
      <c r="P188" s="49"/>
      <c r="Q188" s="49"/>
      <c r="R188" s="49"/>
      <c r="S188" s="49"/>
      <c r="T188" s="49"/>
      <c r="U188" s="49"/>
      <c r="V188" s="49"/>
    </row>
    <row r="189" spans="13:22" ht="13.5">
      <c r="M189" s="49"/>
      <c r="N189" s="49"/>
      <c r="O189" s="49"/>
      <c r="P189" s="49"/>
      <c r="Q189" s="49"/>
      <c r="R189" s="49"/>
      <c r="S189" s="49"/>
      <c r="T189" s="49"/>
      <c r="U189" s="49"/>
      <c r="V189" s="49"/>
    </row>
    <row r="190" spans="13:22" ht="13.5">
      <c r="M190" s="49"/>
      <c r="N190" s="49"/>
      <c r="O190" s="49"/>
      <c r="P190" s="49"/>
      <c r="Q190" s="49"/>
      <c r="R190" s="49"/>
      <c r="S190" s="49"/>
      <c r="T190" s="49"/>
      <c r="U190" s="49"/>
      <c r="V190" s="49"/>
    </row>
    <row r="191" spans="13:22" ht="13.5">
      <c r="M191" s="49"/>
      <c r="N191" s="49"/>
      <c r="O191" s="49"/>
      <c r="P191" s="49"/>
      <c r="Q191" s="49"/>
      <c r="R191" s="49"/>
      <c r="S191" s="49"/>
      <c r="T191" s="49"/>
      <c r="U191" s="49"/>
      <c r="V191" s="49"/>
    </row>
    <row r="192" spans="13:22" ht="13.5">
      <c r="M192" s="49"/>
      <c r="N192" s="49"/>
      <c r="O192" s="49"/>
      <c r="P192" s="49"/>
      <c r="Q192" s="49"/>
      <c r="R192" s="49"/>
      <c r="S192" s="49"/>
      <c r="T192" s="49"/>
      <c r="U192" s="49"/>
      <c r="V192" s="49"/>
    </row>
    <row r="193" spans="13:22" ht="13.5">
      <c r="M193" s="49"/>
      <c r="N193" s="49"/>
      <c r="O193" s="49"/>
      <c r="P193" s="49"/>
      <c r="Q193" s="49"/>
      <c r="R193" s="49"/>
      <c r="S193" s="49"/>
      <c r="T193" s="49"/>
      <c r="U193" s="49"/>
      <c r="V193" s="49"/>
    </row>
    <row r="194" spans="13:22" ht="13.5">
      <c r="M194" s="49"/>
      <c r="N194" s="49"/>
      <c r="O194" s="49"/>
      <c r="P194" s="49"/>
      <c r="Q194" s="49"/>
      <c r="R194" s="49"/>
      <c r="S194" s="49"/>
      <c r="T194" s="49"/>
      <c r="U194" s="49"/>
      <c r="V194" s="49"/>
    </row>
    <row r="195" spans="13:22" ht="13.5">
      <c r="M195" s="49"/>
      <c r="N195" s="49"/>
      <c r="O195" s="49"/>
      <c r="P195" s="49"/>
      <c r="Q195" s="49"/>
      <c r="R195" s="49"/>
      <c r="S195" s="49"/>
      <c r="T195" s="49"/>
      <c r="U195" s="49"/>
      <c r="V195" s="49"/>
    </row>
    <row r="196" spans="13:22" ht="13.5">
      <c r="M196" s="49"/>
      <c r="N196" s="49"/>
      <c r="O196" s="49"/>
      <c r="P196" s="49"/>
      <c r="Q196" s="49"/>
      <c r="R196" s="49"/>
      <c r="S196" s="49"/>
      <c r="T196" s="49"/>
      <c r="U196" s="49"/>
      <c r="V196" s="49"/>
    </row>
    <row r="197" spans="13:22" ht="13.5">
      <c r="M197" s="49"/>
      <c r="N197" s="49"/>
      <c r="O197" s="49"/>
      <c r="P197" s="49"/>
      <c r="Q197" s="49"/>
      <c r="R197" s="49"/>
      <c r="S197" s="49"/>
      <c r="T197" s="49"/>
      <c r="U197" s="49"/>
      <c r="V197" s="49"/>
    </row>
    <row r="198" spans="13:22" ht="13.5">
      <c r="M198" s="49"/>
      <c r="N198" s="49"/>
      <c r="O198" s="49"/>
      <c r="P198" s="49"/>
      <c r="Q198" s="49"/>
      <c r="R198" s="49"/>
      <c r="S198" s="49"/>
      <c r="T198" s="49"/>
      <c r="U198" s="49"/>
      <c r="V198" s="49"/>
    </row>
    <row r="199" spans="13:22" ht="13.5">
      <c r="M199" s="49"/>
      <c r="N199" s="49"/>
      <c r="O199" s="49"/>
      <c r="P199" s="49"/>
      <c r="Q199" s="49"/>
      <c r="R199" s="49"/>
      <c r="S199" s="49"/>
      <c r="T199" s="49"/>
      <c r="U199" s="49"/>
      <c r="V199" s="49"/>
    </row>
    <row r="200" spans="13:22" ht="13.5">
      <c r="M200" s="49"/>
      <c r="N200" s="49"/>
      <c r="O200" s="49"/>
      <c r="P200" s="49"/>
      <c r="Q200" s="49"/>
      <c r="R200" s="49"/>
      <c r="S200" s="49"/>
      <c r="T200" s="49"/>
      <c r="U200" s="49"/>
      <c r="V200" s="49"/>
    </row>
    <row r="201" spans="13:22" ht="13.5">
      <c r="M201" s="49"/>
      <c r="N201" s="49"/>
      <c r="O201" s="49"/>
      <c r="P201" s="49"/>
      <c r="Q201" s="49"/>
      <c r="R201" s="49"/>
      <c r="S201" s="49"/>
      <c r="T201" s="49"/>
      <c r="U201" s="49"/>
      <c r="V201" s="49"/>
    </row>
    <row r="202" spans="13:22" ht="13.5">
      <c r="M202" s="49"/>
      <c r="N202" s="49"/>
      <c r="O202" s="49"/>
      <c r="P202" s="49"/>
      <c r="Q202" s="49"/>
      <c r="R202" s="49"/>
      <c r="S202" s="49"/>
      <c r="T202" s="49"/>
      <c r="U202" s="49"/>
      <c r="V202" s="49"/>
    </row>
    <row r="203" spans="13:22" ht="13.5">
      <c r="M203" s="49"/>
      <c r="N203" s="49"/>
      <c r="O203" s="49"/>
      <c r="P203" s="49"/>
      <c r="Q203" s="49"/>
      <c r="R203" s="49"/>
      <c r="S203" s="49"/>
      <c r="T203" s="49"/>
      <c r="U203" s="49"/>
      <c r="V203" s="49"/>
    </row>
    <row r="204" spans="13:22" ht="13.5">
      <c r="M204" s="49"/>
      <c r="N204" s="49"/>
      <c r="O204" s="49"/>
      <c r="P204" s="49"/>
      <c r="Q204" s="49"/>
      <c r="R204" s="49"/>
      <c r="S204" s="49"/>
      <c r="T204" s="49"/>
      <c r="U204" s="49"/>
      <c r="V204" s="49"/>
    </row>
    <row r="205" spans="13:22" ht="13.5">
      <c r="M205" s="49"/>
      <c r="N205" s="49"/>
      <c r="O205" s="49"/>
      <c r="P205" s="49"/>
      <c r="Q205" s="49"/>
      <c r="R205" s="49"/>
      <c r="S205" s="49"/>
      <c r="T205" s="49"/>
      <c r="U205" s="49"/>
      <c r="V205" s="49"/>
    </row>
    <row r="206" spans="13:22" ht="13.5">
      <c r="M206" s="49"/>
      <c r="N206" s="49"/>
      <c r="O206" s="49"/>
      <c r="P206" s="49"/>
      <c r="Q206" s="49"/>
      <c r="R206" s="49"/>
      <c r="S206" s="49"/>
      <c r="T206" s="49"/>
      <c r="U206" s="49"/>
      <c r="V206" s="49"/>
    </row>
    <row r="207" spans="13:22" ht="13.5">
      <c r="M207" s="49"/>
      <c r="N207" s="49"/>
      <c r="O207" s="49"/>
      <c r="P207" s="49"/>
      <c r="Q207" s="49"/>
      <c r="R207" s="49"/>
      <c r="S207" s="49"/>
      <c r="T207" s="49"/>
      <c r="U207" s="49"/>
      <c r="V207" s="49"/>
    </row>
    <row r="208" spans="13:22" ht="13.5">
      <c r="M208" s="49"/>
      <c r="N208" s="49"/>
      <c r="O208" s="49"/>
      <c r="P208" s="49"/>
      <c r="Q208" s="49"/>
      <c r="R208" s="49"/>
      <c r="S208" s="49"/>
      <c r="T208" s="49"/>
      <c r="U208" s="49"/>
      <c r="V208" s="49"/>
    </row>
    <row r="209" spans="13:22" ht="13.5">
      <c r="M209" s="49"/>
      <c r="N209" s="49"/>
      <c r="O209" s="49"/>
      <c r="P209" s="49"/>
      <c r="Q209" s="49"/>
      <c r="R209" s="49"/>
      <c r="S209" s="49"/>
      <c r="T209" s="49"/>
      <c r="U209" s="49"/>
      <c r="V209" s="49"/>
    </row>
    <row r="210" spans="13:22" ht="13.5">
      <c r="M210" s="49"/>
      <c r="N210" s="49"/>
      <c r="O210" s="49"/>
      <c r="P210" s="49"/>
      <c r="Q210" s="49"/>
      <c r="R210" s="49"/>
      <c r="S210" s="49"/>
      <c r="T210" s="49"/>
      <c r="U210" s="49"/>
      <c r="V210" s="49"/>
    </row>
    <row r="211" spans="13:22" ht="13.5">
      <c r="M211" s="49"/>
      <c r="N211" s="49"/>
      <c r="O211" s="49"/>
      <c r="P211" s="49"/>
      <c r="Q211" s="49"/>
      <c r="R211" s="49"/>
      <c r="S211" s="49"/>
      <c r="T211" s="49"/>
      <c r="U211" s="49"/>
      <c r="V211" s="49"/>
    </row>
    <row r="212" spans="13:22" ht="13.5">
      <c r="M212" s="49"/>
      <c r="N212" s="49"/>
      <c r="O212" s="49"/>
      <c r="P212" s="49"/>
      <c r="Q212" s="49"/>
      <c r="R212" s="49"/>
      <c r="S212" s="49"/>
      <c r="T212" s="49"/>
      <c r="U212" s="49"/>
      <c r="V212" s="49"/>
    </row>
    <row r="213" spans="13:22" ht="13.5">
      <c r="M213" s="49"/>
      <c r="N213" s="49"/>
      <c r="O213" s="49"/>
      <c r="P213" s="49"/>
      <c r="Q213" s="49"/>
      <c r="R213" s="49"/>
      <c r="S213" s="49"/>
      <c r="T213" s="49"/>
      <c r="U213" s="49"/>
      <c r="V213" s="49"/>
    </row>
    <row r="214" spans="13:22" ht="13.5">
      <c r="M214" s="49"/>
      <c r="N214" s="49"/>
      <c r="O214" s="49"/>
      <c r="P214" s="49"/>
      <c r="Q214" s="49"/>
      <c r="R214" s="49"/>
      <c r="S214" s="49"/>
      <c r="T214" s="49"/>
      <c r="U214" s="49"/>
      <c r="V214" s="49"/>
    </row>
    <row r="215" spans="13:22" ht="13.5">
      <c r="M215" s="49"/>
      <c r="N215" s="49"/>
      <c r="O215" s="49"/>
      <c r="P215" s="49"/>
      <c r="Q215" s="49"/>
      <c r="R215" s="49"/>
      <c r="S215" s="49"/>
      <c r="T215" s="49"/>
      <c r="U215" s="49"/>
      <c r="V215" s="49"/>
    </row>
    <row r="216" spans="13:22" ht="13.5">
      <c r="M216" s="49"/>
      <c r="N216" s="49"/>
      <c r="O216" s="49"/>
      <c r="P216" s="49"/>
      <c r="Q216" s="49"/>
      <c r="R216" s="49"/>
      <c r="S216" s="49"/>
      <c r="T216" s="49"/>
      <c r="U216" s="49"/>
      <c r="V216" s="49"/>
    </row>
    <row r="217" spans="13:22" ht="13.5">
      <c r="M217" s="49"/>
      <c r="N217" s="49"/>
      <c r="O217" s="49"/>
      <c r="P217" s="49"/>
      <c r="Q217" s="49"/>
      <c r="R217" s="49"/>
      <c r="S217" s="49"/>
      <c r="T217" s="49"/>
      <c r="U217" s="49"/>
      <c r="V217" s="49"/>
    </row>
    <row r="218" spans="13:22" ht="13.5">
      <c r="M218" s="49"/>
      <c r="N218" s="49"/>
      <c r="O218" s="49"/>
      <c r="P218" s="49"/>
      <c r="Q218" s="49"/>
      <c r="R218" s="49"/>
      <c r="S218" s="49"/>
      <c r="T218" s="49"/>
      <c r="U218" s="49"/>
      <c r="V218" s="49"/>
    </row>
    <row r="219" spans="13:22" ht="13.5">
      <c r="M219" s="49"/>
      <c r="N219" s="49"/>
      <c r="O219" s="49"/>
      <c r="P219" s="49"/>
      <c r="Q219" s="49"/>
      <c r="R219" s="49"/>
      <c r="S219" s="49"/>
      <c r="T219" s="49"/>
      <c r="U219" s="49"/>
      <c r="V219" s="49"/>
    </row>
    <row r="220" spans="13:22" ht="13.5">
      <c r="M220" s="49"/>
      <c r="N220" s="49"/>
      <c r="O220" s="49"/>
      <c r="P220" s="49"/>
      <c r="Q220" s="49"/>
      <c r="R220" s="49"/>
      <c r="S220" s="49"/>
      <c r="T220" s="49"/>
      <c r="U220" s="49"/>
      <c r="V220" s="49"/>
    </row>
    <row r="221" spans="13:22" ht="13.5">
      <c r="M221" s="49"/>
      <c r="N221" s="49"/>
      <c r="O221" s="49"/>
      <c r="P221" s="49"/>
      <c r="Q221" s="49"/>
      <c r="R221" s="49"/>
      <c r="S221" s="49"/>
      <c r="T221" s="49"/>
      <c r="U221" s="49"/>
      <c r="V221" s="49"/>
    </row>
    <row r="222" spans="13:22" ht="13.5">
      <c r="M222" s="49"/>
      <c r="N222" s="49"/>
      <c r="O222" s="49"/>
      <c r="P222" s="49"/>
      <c r="Q222" s="49"/>
      <c r="R222" s="49"/>
      <c r="S222" s="49"/>
      <c r="T222" s="49"/>
      <c r="U222" s="49"/>
      <c r="V222" s="49"/>
    </row>
    <row r="223" spans="13:22" ht="13.5">
      <c r="M223" s="49"/>
      <c r="N223" s="49"/>
      <c r="O223" s="49"/>
      <c r="P223" s="49"/>
      <c r="Q223" s="49"/>
      <c r="R223" s="49"/>
      <c r="S223" s="49"/>
      <c r="T223" s="49"/>
      <c r="U223" s="49"/>
      <c r="V223" s="49"/>
    </row>
    <row r="224" spans="13:22" ht="13.5">
      <c r="M224" s="49"/>
      <c r="N224" s="49"/>
      <c r="O224" s="49"/>
      <c r="P224" s="49"/>
      <c r="Q224" s="49"/>
      <c r="R224" s="49"/>
      <c r="S224" s="49"/>
      <c r="T224" s="49"/>
      <c r="U224" s="49"/>
      <c r="V224" s="49"/>
    </row>
    <row r="225" spans="13:22" ht="13.5">
      <c r="M225" s="49"/>
      <c r="N225" s="49"/>
      <c r="O225" s="49"/>
      <c r="P225" s="49"/>
      <c r="Q225" s="49"/>
      <c r="R225" s="49"/>
      <c r="S225" s="49"/>
      <c r="T225" s="49"/>
      <c r="U225" s="49"/>
      <c r="V225" s="49"/>
    </row>
    <row r="226" spans="13:22" ht="13.5">
      <c r="M226" s="49"/>
      <c r="N226" s="49"/>
      <c r="O226" s="49"/>
      <c r="P226" s="49"/>
      <c r="Q226" s="49"/>
      <c r="R226" s="49"/>
      <c r="S226" s="49"/>
      <c r="T226" s="49"/>
      <c r="U226" s="49"/>
      <c r="V226" s="49"/>
    </row>
    <row r="227" spans="13:22" ht="13.5">
      <c r="M227" s="49"/>
      <c r="N227" s="49"/>
      <c r="O227" s="49"/>
      <c r="P227" s="49"/>
      <c r="Q227" s="49"/>
      <c r="R227" s="49"/>
      <c r="S227" s="49"/>
      <c r="T227" s="49"/>
      <c r="U227" s="49"/>
      <c r="V227" s="49"/>
    </row>
    <row r="228" spans="13:22" ht="13.5">
      <c r="M228" s="49"/>
      <c r="N228" s="49"/>
      <c r="O228" s="49"/>
      <c r="P228" s="49"/>
      <c r="Q228" s="49"/>
      <c r="R228" s="49"/>
      <c r="S228" s="49"/>
      <c r="T228" s="49"/>
      <c r="U228" s="49"/>
      <c r="V228" s="49"/>
    </row>
    <row r="229" spans="13:22" ht="13.5">
      <c r="M229" s="49"/>
      <c r="N229" s="49"/>
      <c r="O229" s="49"/>
      <c r="P229" s="49"/>
      <c r="Q229" s="49"/>
      <c r="R229" s="49"/>
      <c r="S229" s="49"/>
      <c r="T229" s="49"/>
      <c r="U229" s="49"/>
      <c r="V229" s="49"/>
    </row>
    <row r="230" spans="13:22" ht="13.5">
      <c r="M230" s="49"/>
      <c r="N230" s="49"/>
      <c r="O230" s="49"/>
      <c r="P230" s="49"/>
      <c r="Q230" s="49"/>
      <c r="R230" s="49"/>
      <c r="S230" s="49"/>
      <c r="T230" s="49"/>
      <c r="U230" s="49"/>
      <c r="V230" s="49"/>
    </row>
    <row r="231" spans="13:22" ht="13.5">
      <c r="M231" s="49"/>
      <c r="N231" s="49"/>
      <c r="O231" s="49"/>
      <c r="P231" s="49"/>
      <c r="Q231" s="49"/>
      <c r="R231" s="49"/>
      <c r="S231" s="49"/>
      <c r="T231" s="49"/>
      <c r="U231" s="49"/>
      <c r="V231" s="49"/>
    </row>
    <row r="232" spans="13:22" ht="13.5">
      <c r="M232" s="49"/>
      <c r="N232" s="49"/>
      <c r="O232" s="49"/>
      <c r="P232" s="49"/>
      <c r="Q232" s="49"/>
      <c r="R232" s="49"/>
      <c r="S232" s="49"/>
      <c r="T232" s="49"/>
      <c r="U232" s="49"/>
      <c r="V232" s="49"/>
    </row>
    <row r="233" spans="13:22" ht="13.5">
      <c r="M233" s="49"/>
      <c r="N233" s="49"/>
      <c r="O233" s="49"/>
      <c r="P233" s="49"/>
      <c r="Q233" s="49"/>
      <c r="R233" s="49"/>
      <c r="S233" s="49"/>
      <c r="T233" s="49"/>
      <c r="U233" s="49"/>
      <c r="V233" s="49"/>
    </row>
    <row r="234" spans="13:22" ht="13.5">
      <c r="M234" s="49"/>
      <c r="N234" s="49"/>
      <c r="O234" s="49"/>
      <c r="P234" s="49"/>
      <c r="Q234" s="49"/>
      <c r="R234" s="49"/>
      <c r="S234" s="49"/>
      <c r="T234" s="49"/>
      <c r="U234" s="49"/>
      <c r="V234" s="49"/>
    </row>
    <row r="235" spans="13:22" ht="13.5">
      <c r="M235" s="49"/>
      <c r="N235" s="49"/>
      <c r="O235" s="49"/>
      <c r="P235" s="49"/>
      <c r="Q235" s="49"/>
      <c r="R235" s="49"/>
      <c r="S235" s="49"/>
      <c r="T235" s="49"/>
      <c r="U235" s="49"/>
      <c r="V235" s="49"/>
    </row>
    <row r="236" spans="13:22" ht="13.5">
      <c r="M236" s="49"/>
      <c r="N236" s="49"/>
      <c r="O236" s="49"/>
      <c r="P236" s="49"/>
      <c r="Q236" s="49"/>
      <c r="R236" s="49"/>
      <c r="S236" s="49"/>
      <c r="T236" s="49"/>
      <c r="U236" s="49"/>
      <c r="V236" s="49"/>
    </row>
    <row r="237" spans="13:22" ht="13.5">
      <c r="M237" s="49"/>
      <c r="N237" s="49"/>
      <c r="O237" s="49"/>
      <c r="P237" s="49"/>
      <c r="Q237" s="49"/>
      <c r="R237" s="49"/>
      <c r="S237" s="49"/>
      <c r="T237" s="49"/>
      <c r="U237" s="49"/>
      <c r="V237" s="49"/>
    </row>
    <row r="238" spans="13:22" ht="13.5">
      <c r="M238" s="49"/>
      <c r="N238" s="49"/>
      <c r="O238" s="49"/>
      <c r="P238" s="49"/>
      <c r="Q238" s="49"/>
      <c r="R238" s="49"/>
      <c r="S238" s="49"/>
      <c r="T238" s="49"/>
      <c r="U238" s="49"/>
      <c r="V238" s="49"/>
    </row>
    <row r="239" spans="13:22" ht="13.5">
      <c r="M239" s="49"/>
      <c r="N239" s="49"/>
      <c r="O239" s="49"/>
      <c r="P239" s="49"/>
      <c r="Q239" s="49"/>
      <c r="R239" s="49"/>
      <c r="S239" s="49"/>
      <c r="T239" s="49"/>
      <c r="U239" s="49"/>
      <c r="V239" s="49"/>
    </row>
    <row r="240" spans="13:22" ht="13.5">
      <c r="M240" s="49"/>
      <c r="N240" s="49"/>
      <c r="O240" s="49"/>
      <c r="P240" s="49"/>
      <c r="Q240" s="49"/>
      <c r="R240" s="49"/>
      <c r="S240" s="49"/>
      <c r="T240" s="49"/>
      <c r="U240" s="49"/>
      <c r="V240" s="49"/>
    </row>
    <row r="241" spans="13:22" ht="13.5">
      <c r="M241" s="49"/>
      <c r="N241" s="49"/>
      <c r="O241" s="49"/>
      <c r="P241" s="49"/>
      <c r="Q241" s="49"/>
      <c r="R241" s="49"/>
      <c r="S241" s="49"/>
      <c r="T241" s="49"/>
      <c r="U241" s="49"/>
      <c r="V241" s="49"/>
    </row>
    <row r="242" spans="13:22" ht="13.5">
      <c r="M242" s="49"/>
      <c r="N242" s="49"/>
      <c r="O242" s="49"/>
      <c r="P242" s="49"/>
      <c r="Q242" s="49"/>
      <c r="R242" s="49"/>
      <c r="S242" s="49"/>
      <c r="T242" s="49"/>
      <c r="U242" s="49"/>
      <c r="V242" s="49"/>
    </row>
    <row r="243" spans="13:22" ht="13.5">
      <c r="M243" s="49"/>
      <c r="N243" s="49"/>
      <c r="O243" s="49"/>
      <c r="P243" s="49"/>
      <c r="Q243" s="49"/>
      <c r="R243" s="49"/>
      <c r="S243" s="49"/>
      <c r="T243" s="49"/>
      <c r="U243" s="49"/>
      <c r="V243" s="49"/>
    </row>
    <row r="244" spans="13:22" ht="13.5">
      <c r="M244" s="49"/>
      <c r="N244" s="49"/>
      <c r="O244" s="49"/>
      <c r="P244" s="49"/>
      <c r="Q244" s="49"/>
      <c r="R244" s="49"/>
      <c r="S244" s="49"/>
      <c r="T244" s="49"/>
      <c r="U244" s="49"/>
      <c r="V244" s="49"/>
    </row>
    <row r="245" spans="13:22" ht="13.5">
      <c r="M245" s="49"/>
      <c r="N245" s="49"/>
      <c r="O245" s="49"/>
      <c r="P245" s="49"/>
      <c r="Q245" s="49"/>
      <c r="R245" s="49"/>
      <c r="S245" s="49"/>
      <c r="T245" s="49"/>
      <c r="U245" s="49"/>
      <c r="V245" s="49"/>
    </row>
    <row r="246" spans="13:22" ht="13.5">
      <c r="M246" s="49"/>
      <c r="N246" s="49"/>
      <c r="O246" s="49"/>
      <c r="P246" s="49"/>
      <c r="Q246" s="49"/>
      <c r="R246" s="49"/>
      <c r="S246" s="49"/>
      <c r="T246" s="49"/>
      <c r="U246" s="49"/>
      <c r="V246" s="49"/>
    </row>
    <row r="247" spans="13:22" ht="13.5">
      <c r="M247" s="49"/>
      <c r="N247" s="49"/>
      <c r="O247" s="49"/>
      <c r="P247" s="49"/>
      <c r="Q247" s="49"/>
      <c r="R247" s="49"/>
      <c r="S247" s="49"/>
      <c r="T247" s="49"/>
      <c r="U247" s="49"/>
      <c r="V247" s="49"/>
    </row>
    <row r="248" spans="13:22" ht="13.5">
      <c r="M248" s="49"/>
      <c r="N248" s="49"/>
      <c r="O248" s="49"/>
      <c r="P248" s="49"/>
      <c r="Q248" s="49"/>
      <c r="R248" s="49"/>
      <c r="S248" s="49"/>
      <c r="T248" s="49"/>
      <c r="U248" s="49"/>
      <c r="V248" s="49"/>
    </row>
    <row r="249" spans="13:22" ht="13.5">
      <c r="M249" s="49"/>
      <c r="N249" s="49"/>
      <c r="O249" s="49"/>
      <c r="P249" s="49"/>
      <c r="Q249" s="49"/>
      <c r="R249" s="49"/>
      <c r="S249" s="49"/>
      <c r="T249" s="49"/>
      <c r="U249" s="49"/>
      <c r="V249" s="49"/>
    </row>
    <row r="250" spans="13:22" ht="13.5">
      <c r="M250" s="49"/>
      <c r="N250" s="49"/>
      <c r="O250" s="49"/>
      <c r="P250" s="49"/>
      <c r="Q250" s="49"/>
      <c r="R250" s="49"/>
      <c r="S250" s="49"/>
      <c r="T250" s="49"/>
      <c r="U250" s="49"/>
      <c r="V250" s="49"/>
    </row>
    <row r="251" spans="13:22" ht="13.5">
      <c r="M251" s="49"/>
      <c r="N251" s="49"/>
      <c r="O251" s="49"/>
      <c r="P251" s="49"/>
      <c r="Q251" s="49"/>
      <c r="R251" s="49"/>
      <c r="S251" s="49"/>
      <c r="T251" s="49"/>
      <c r="U251" s="49"/>
      <c r="V251" s="49"/>
    </row>
    <row r="252" spans="13:22" ht="13.5">
      <c r="M252" s="49"/>
      <c r="N252" s="49"/>
      <c r="O252" s="49"/>
      <c r="P252" s="49"/>
      <c r="Q252" s="49"/>
      <c r="R252" s="49"/>
      <c r="S252" s="49"/>
      <c r="T252" s="49"/>
      <c r="U252" s="49"/>
      <c r="V252" s="49"/>
    </row>
    <row r="253" spans="13:22" ht="13.5">
      <c r="M253" s="49"/>
      <c r="N253" s="49"/>
      <c r="O253" s="49"/>
      <c r="P253" s="49"/>
      <c r="Q253" s="49"/>
      <c r="R253" s="49"/>
      <c r="S253" s="49"/>
      <c r="T253" s="49"/>
      <c r="U253" s="49"/>
      <c r="V253" s="49"/>
    </row>
    <row r="254" spans="13:22" ht="13.5">
      <c r="M254" s="49"/>
      <c r="N254" s="49"/>
      <c r="O254" s="49"/>
      <c r="P254" s="49"/>
      <c r="Q254" s="49"/>
      <c r="R254" s="49"/>
      <c r="S254" s="49"/>
      <c r="T254" s="49"/>
      <c r="U254" s="49"/>
      <c r="V254" s="49"/>
    </row>
    <row r="255" spans="13:22" ht="13.5">
      <c r="M255" s="49"/>
      <c r="N255" s="49"/>
      <c r="O255" s="49"/>
      <c r="P255" s="49"/>
      <c r="Q255" s="49"/>
      <c r="R255" s="49"/>
      <c r="S255" s="49"/>
      <c r="T255" s="49"/>
      <c r="U255" s="49"/>
      <c r="V255" s="49"/>
    </row>
    <row r="256" spans="13:22" ht="13.5">
      <c r="M256" s="49"/>
      <c r="N256" s="49"/>
      <c r="O256" s="49"/>
      <c r="P256" s="49"/>
      <c r="Q256" s="49"/>
      <c r="R256" s="49"/>
      <c r="S256" s="49"/>
      <c r="T256" s="49"/>
      <c r="U256" s="49"/>
      <c r="V256" s="49"/>
    </row>
    <row r="257" spans="13:22" ht="13.5">
      <c r="M257" s="49"/>
      <c r="N257" s="49"/>
      <c r="O257" s="49"/>
      <c r="P257" s="49"/>
      <c r="Q257" s="49"/>
      <c r="R257" s="49"/>
      <c r="S257" s="49"/>
      <c r="T257" s="49"/>
      <c r="U257" s="49"/>
      <c r="V257" s="49"/>
    </row>
    <row r="258" spans="13:22" ht="13.5">
      <c r="M258" s="49"/>
      <c r="N258" s="49"/>
      <c r="O258" s="49"/>
      <c r="P258" s="49"/>
      <c r="Q258" s="49"/>
      <c r="R258" s="49"/>
      <c r="S258" s="49"/>
      <c r="T258" s="49"/>
      <c r="U258" s="49"/>
      <c r="V258" s="49"/>
    </row>
    <row r="259" spans="13:22" ht="13.5">
      <c r="M259" s="49"/>
      <c r="N259" s="49"/>
      <c r="O259" s="49"/>
      <c r="P259" s="49"/>
      <c r="Q259" s="49"/>
      <c r="R259" s="49"/>
      <c r="S259" s="49"/>
      <c r="T259" s="49"/>
      <c r="U259" s="49"/>
      <c r="V259" s="49"/>
    </row>
    <row r="260" spans="13:22" ht="13.5">
      <c r="M260" s="49"/>
      <c r="N260" s="49"/>
      <c r="O260" s="49"/>
      <c r="P260" s="49"/>
      <c r="Q260" s="49"/>
      <c r="R260" s="49"/>
      <c r="S260" s="49"/>
      <c r="T260" s="49"/>
      <c r="U260" s="49"/>
      <c r="V260" s="49"/>
    </row>
    <row r="261" spans="13:22" ht="13.5">
      <c r="M261" s="49"/>
      <c r="N261" s="49"/>
      <c r="O261" s="49"/>
      <c r="P261" s="49"/>
      <c r="Q261" s="49"/>
      <c r="R261" s="49"/>
      <c r="S261" s="49"/>
      <c r="T261" s="49"/>
      <c r="U261" s="49"/>
      <c r="V261" s="49"/>
    </row>
    <row r="262" spans="13:22" ht="13.5">
      <c r="M262" s="49"/>
      <c r="N262" s="49"/>
      <c r="O262" s="49"/>
      <c r="P262" s="49"/>
      <c r="Q262" s="49"/>
      <c r="R262" s="49"/>
      <c r="S262" s="49"/>
      <c r="T262" s="49"/>
      <c r="U262" s="49"/>
      <c r="V262" s="49"/>
    </row>
    <row r="263" spans="13:22" ht="13.5">
      <c r="M263" s="49"/>
      <c r="N263" s="49"/>
      <c r="O263" s="49"/>
      <c r="P263" s="49"/>
      <c r="Q263" s="49"/>
      <c r="R263" s="49"/>
      <c r="S263" s="49"/>
      <c r="T263" s="49"/>
      <c r="U263" s="49"/>
      <c r="V263" s="49"/>
    </row>
    <row r="264" spans="13:22" ht="13.5">
      <c r="M264" s="49"/>
      <c r="N264" s="49"/>
      <c r="O264" s="49"/>
      <c r="P264" s="49"/>
      <c r="Q264" s="49"/>
      <c r="R264" s="49"/>
      <c r="S264" s="49"/>
      <c r="T264" s="49"/>
      <c r="U264" s="49"/>
      <c r="V264" s="49"/>
    </row>
    <row r="265" spans="13:22" ht="13.5">
      <c r="M265" s="49"/>
      <c r="N265" s="49"/>
      <c r="O265" s="49"/>
      <c r="P265" s="49"/>
      <c r="Q265" s="49"/>
      <c r="R265" s="49"/>
      <c r="S265" s="49"/>
      <c r="T265" s="49"/>
      <c r="U265" s="49"/>
      <c r="V265" s="49"/>
    </row>
    <row r="266" spans="13:22" ht="13.5">
      <c r="M266" s="49"/>
      <c r="N266" s="49"/>
      <c r="O266" s="49"/>
      <c r="P266" s="49"/>
      <c r="Q266" s="49"/>
      <c r="R266" s="49"/>
      <c r="S266" s="49"/>
      <c r="T266" s="49"/>
      <c r="U266" s="49"/>
      <c r="V266" s="49"/>
    </row>
    <row r="267" spans="13:22" ht="13.5">
      <c r="M267" s="49"/>
      <c r="N267" s="49"/>
      <c r="O267" s="49"/>
      <c r="P267" s="49"/>
      <c r="Q267" s="49"/>
      <c r="R267" s="49"/>
      <c r="S267" s="49"/>
      <c r="T267" s="49"/>
      <c r="U267" s="49"/>
      <c r="V267" s="49"/>
    </row>
    <row r="268" spans="13:22" ht="13.5">
      <c r="M268" s="49"/>
      <c r="N268" s="49"/>
      <c r="O268" s="49"/>
      <c r="P268" s="49"/>
      <c r="Q268" s="49"/>
      <c r="R268" s="49"/>
      <c r="S268" s="49"/>
      <c r="T268" s="49"/>
      <c r="U268" s="49"/>
      <c r="V268" s="49"/>
    </row>
    <row r="269" spans="13:22" ht="13.5">
      <c r="M269" s="49"/>
      <c r="N269" s="49"/>
      <c r="O269" s="49"/>
      <c r="P269" s="49"/>
      <c r="Q269" s="49"/>
      <c r="R269" s="49"/>
      <c r="S269" s="49"/>
      <c r="T269" s="49"/>
      <c r="U269" s="49"/>
      <c r="V269" s="49"/>
    </row>
    <row r="270" spans="13:22" ht="13.5">
      <c r="M270" s="49"/>
      <c r="N270" s="49"/>
      <c r="O270" s="49"/>
      <c r="P270" s="49"/>
      <c r="Q270" s="49"/>
      <c r="R270" s="49"/>
      <c r="S270" s="49"/>
      <c r="T270" s="49"/>
      <c r="U270" s="49"/>
      <c r="V270" s="49"/>
    </row>
    <row r="271" spans="13:22" ht="13.5">
      <c r="M271" s="49"/>
      <c r="N271" s="49"/>
      <c r="O271" s="49"/>
      <c r="P271" s="49"/>
      <c r="Q271" s="49"/>
      <c r="R271" s="49"/>
      <c r="S271" s="49"/>
      <c r="T271" s="49"/>
      <c r="U271" s="49"/>
      <c r="V271" s="49"/>
    </row>
    <row r="272" spans="13:22" ht="13.5">
      <c r="M272" s="49"/>
      <c r="N272" s="49"/>
      <c r="O272" s="49"/>
      <c r="P272" s="49"/>
      <c r="Q272" s="49"/>
      <c r="R272" s="49"/>
      <c r="S272" s="49"/>
      <c r="T272" s="49"/>
      <c r="U272" s="49"/>
      <c r="V272" s="49"/>
    </row>
    <row r="273" spans="13:22" ht="13.5">
      <c r="M273" s="49"/>
      <c r="N273" s="49"/>
      <c r="O273" s="49"/>
      <c r="P273" s="49"/>
      <c r="Q273" s="49"/>
      <c r="R273" s="49"/>
      <c r="S273" s="49"/>
      <c r="T273" s="49"/>
      <c r="U273" s="49"/>
      <c r="V273" s="49"/>
    </row>
    <row r="274" spans="13:22" ht="13.5">
      <c r="M274" s="49"/>
      <c r="N274" s="49"/>
      <c r="O274" s="49"/>
      <c r="P274" s="49"/>
      <c r="Q274" s="49"/>
      <c r="R274" s="49"/>
      <c r="S274" s="49"/>
      <c r="T274" s="49"/>
      <c r="U274" s="49"/>
      <c r="V274" s="49"/>
    </row>
    <row r="275" spans="13:22" ht="13.5">
      <c r="M275" s="49"/>
      <c r="N275" s="49"/>
      <c r="O275" s="49"/>
      <c r="P275" s="49"/>
      <c r="Q275" s="49"/>
      <c r="R275" s="49"/>
      <c r="S275" s="49"/>
      <c r="T275" s="49"/>
      <c r="U275" s="49"/>
      <c r="V275" s="49"/>
    </row>
    <row r="276" spans="13:22" ht="13.5">
      <c r="M276" s="49"/>
      <c r="N276" s="49"/>
      <c r="O276" s="49"/>
      <c r="P276" s="49"/>
      <c r="Q276" s="49"/>
      <c r="R276" s="49"/>
      <c r="S276" s="49"/>
      <c r="T276" s="49"/>
      <c r="U276" s="49"/>
      <c r="V276" s="49"/>
    </row>
    <row r="277" spans="13:22" ht="13.5">
      <c r="M277" s="49"/>
      <c r="N277" s="49"/>
      <c r="O277" s="49"/>
      <c r="P277" s="49"/>
      <c r="Q277" s="49"/>
      <c r="R277" s="49"/>
      <c r="S277" s="49"/>
      <c r="T277" s="49"/>
      <c r="U277" s="49"/>
      <c r="V277" s="49"/>
    </row>
    <row r="278" spans="13:22" ht="13.5">
      <c r="M278" s="49"/>
      <c r="N278" s="49"/>
      <c r="O278" s="49"/>
      <c r="P278" s="49"/>
      <c r="Q278" s="49"/>
      <c r="R278" s="49"/>
      <c r="S278" s="49"/>
      <c r="T278" s="49"/>
      <c r="U278" s="49"/>
      <c r="V278" s="49"/>
    </row>
    <row r="279" spans="13:22" ht="13.5">
      <c r="M279" s="49"/>
      <c r="N279" s="49"/>
      <c r="O279" s="49"/>
      <c r="P279" s="49"/>
      <c r="Q279" s="49"/>
      <c r="R279" s="49"/>
      <c r="S279" s="49"/>
      <c r="T279" s="49"/>
      <c r="U279" s="49"/>
      <c r="V279" s="49"/>
    </row>
    <row r="280" spans="13:22" ht="13.5">
      <c r="M280" s="49"/>
      <c r="N280" s="49"/>
      <c r="O280" s="49"/>
      <c r="P280" s="49"/>
      <c r="Q280" s="49"/>
      <c r="R280" s="49"/>
      <c r="S280" s="49"/>
      <c r="T280" s="49"/>
      <c r="U280" s="49"/>
      <c r="V280" s="49"/>
    </row>
    <row r="281" spans="13:22" ht="13.5">
      <c r="M281" s="49"/>
      <c r="N281" s="49"/>
      <c r="O281" s="49"/>
      <c r="P281" s="49"/>
      <c r="Q281" s="49"/>
      <c r="R281" s="49"/>
      <c r="S281" s="49"/>
      <c r="T281" s="49"/>
      <c r="U281" s="49"/>
      <c r="V281" s="49"/>
    </row>
    <row r="282" spans="13:22" ht="13.5">
      <c r="M282" s="49"/>
      <c r="N282" s="49"/>
      <c r="O282" s="49"/>
      <c r="P282" s="49"/>
      <c r="Q282" s="49"/>
      <c r="R282" s="49"/>
      <c r="S282" s="49"/>
      <c r="T282" s="49"/>
      <c r="U282" s="49"/>
      <c r="V282" s="49"/>
    </row>
    <row r="283" spans="13:22" ht="13.5">
      <c r="M283" s="49"/>
      <c r="N283" s="49"/>
      <c r="O283" s="49"/>
      <c r="P283" s="49"/>
      <c r="Q283" s="49"/>
      <c r="R283" s="49"/>
      <c r="S283" s="49"/>
      <c r="T283" s="49"/>
      <c r="U283" s="49"/>
      <c r="V283" s="49"/>
    </row>
    <row r="284" spans="13:22" ht="13.5">
      <c r="M284" s="49"/>
      <c r="N284" s="49"/>
      <c r="O284" s="49"/>
      <c r="P284" s="49"/>
      <c r="Q284" s="49"/>
      <c r="R284" s="49"/>
      <c r="S284" s="49"/>
      <c r="T284" s="49"/>
      <c r="U284" s="49"/>
      <c r="V284" s="49"/>
    </row>
    <row r="285" spans="13:22" ht="13.5">
      <c r="M285" s="49"/>
      <c r="N285" s="49"/>
      <c r="O285" s="49"/>
      <c r="P285" s="49"/>
      <c r="Q285" s="49"/>
      <c r="R285" s="49"/>
      <c r="S285" s="49"/>
      <c r="T285" s="49"/>
      <c r="U285" s="49"/>
      <c r="V285" s="49"/>
    </row>
    <row r="286" spans="13:22" ht="13.5">
      <c r="M286" s="61"/>
      <c r="N286" s="61"/>
      <c r="O286" s="61"/>
      <c r="P286" s="61"/>
      <c r="Q286" s="61"/>
      <c r="R286" s="61"/>
      <c r="S286" s="61"/>
      <c r="T286" s="61"/>
      <c r="U286" s="61"/>
      <c r="V286" s="61"/>
    </row>
  </sheetData>
  <sheetProtection/>
  <mergeCells count="12">
    <mergeCell ref="A1:L1"/>
    <mergeCell ref="A2:L2"/>
    <mergeCell ref="A3:C3"/>
    <mergeCell ref="K4:L4"/>
    <mergeCell ref="A5:F5"/>
    <mergeCell ref="G5:L5"/>
    <mergeCell ref="A6:A7"/>
    <mergeCell ref="B6:B7"/>
    <mergeCell ref="E6:F6"/>
    <mergeCell ref="G6:G7"/>
    <mergeCell ref="H6:H7"/>
    <mergeCell ref="K6:L6"/>
  </mergeCells>
  <printOptions/>
  <pageMargins left="1.141732283464567" right="0.1968503937007874" top="0.7480314960629921" bottom="0.8267716535433072" header="0.5118110236220472" footer="0.5118110236220472"/>
  <pageSetup firstPageNumber="2" useFirstPageNumber="1" horizontalDpi="600" verticalDpi="6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8.88671875" defaultRowHeight="13.5"/>
  <sheetData>
    <row r="1" spans="1:12" ht="13.5">
      <c r="A1" s="334" t="s">
        <v>370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3.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3.5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3.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3.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3.5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</row>
    <row r="7" spans="1:12" ht="13.5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</row>
    <row r="8" spans="1:12" ht="13.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</row>
    <row r="9" spans="1:12" ht="13.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</row>
    <row r="10" spans="1:12" ht="13.5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spans="1:12" ht="13.5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</row>
    <row r="12" spans="1:12" ht="13.5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</row>
    <row r="13" spans="1:12" ht="13.5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</row>
    <row r="14" spans="1:12" ht="13.5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</row>
    <row r="15" spans="1:12" ht="13.5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</row>
    <row r="16" spans="1:12" ht="13.5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</row>
    <row r="17" spans="1:12" ht="13.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</row>
    <row r="18" spans="1:12" ht="13.5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</row>
    <row r="19" spans="1:12" ht="13.5">
      <c r="A19" s="324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</row>
    <row r="20" spans="1:12" ht="13.5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</row>
    <row r="21" spans="1:12" ht="13.5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</row>
    <row r="22" spans="1:12" ht="13.5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</row>
    <row r="23" spans="1:12" ht="13.5">
      <c r="A23" s="324"/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</row>
    <row r="24" spans="1:12" ht="13.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</row>
    <row r="25" spans="1:12" ht="13.5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</row>
    <row r="26" spans="1:12" ht="13.5">
      <c r="A26" s="324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</row>
    <row r="27" spans="1:12" ht="13.5">
      <c r="A27" s="324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</row>
    <row r="28" spans="1:12" ht="13.5">
      <c r="A28" s="324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</row>
    <row r="29" spans="1:12" ht="13.5">
      <c r="A29" s="324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</row>
    <row r="30" spans="1:12" ht="13.5">
      <c r="A30" s="324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</row>
    <row r="31" spans="1:12" ht="13.5">
      <c r="A31" s="324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</row>
    <row r="32" spans="1:12" ht="13.5">
      <c r="A32" s="324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</row>
    <row r="33" spans="1:12" ht="13.5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</row>
  </sheetData>
  <sheetProtection/>
  <mergeCells count="1">
    <mergeCell ref="A1:L3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="115" zoomScaleNormal="115" zoomScalePageLayoutView="0" workbookViewId="0" topLeftCell="A1">
      <pane ySplit="4" topLeftCell="A5" activePane="bottomLeft" state="frozen"/>
      <selection pane="topLeft" activeCell="A1" sqref="A1"/>
      <selection pane="bottomLeft" activeCell="J50" sqref="J50"/>
    </sheetView>
  </sheetViews>
  <sheetFormatPr defaultColWidth="8.88671875" defaultRowHeight="13.5"/>
  <cols>
    <col min="1" max="1" width="7.3359375" style="9" customWidth="1"/>
    <col min="2" max="2" width="7.4453125" style="9" customWidth="1"/>
    <col min="3" max="3" width="7.3359375" style="13" customWidth="1"/>
    <col min="4" max="6" width="7.3359375" style="18" customWidth="1"/>
    <col min="7" max="7" width="7.3359375" style="9" customWidth="1"/>
    <col min="8" max="8" width="54.6640625" style="11" customWidth="1"/>
    <col min="9" max="9" width="10.77734375" style="18" customWidth="1"/>
    <col min="10" max="10" width="8.88671875" style="9" customWidth="1"/>
    <col min="11" max="13" width="12.10546875" style="9" bestFit="1" customWidth="1"/>
    <col min="14" max="14" width="4.3359375" style="9" customWidth="1"/>
    <col min="15" max="15" width="3.99609375" style="9" bestFit="1" customWidth="1"/>
    <col min="16" max="16" width="13.21484375" style="9" bestFit="1" customWidth="1"/>
    <col min="17" max="17" width="10.21484375" style="9" bestFit="1" customWidth="1"/>
    <col min="18" max="16384" width="8.88671875" style="9" customWidth="1"/>
  </cols>
  <sheetData>
    <row r="1" spans="1:7" ht="28.5" customHeight="1">
      <c r="A1" s="353" t="s">
        <v>91</v>
      </c>
      <c r="B1" s="353"/>
      <c r="C1" s="161"/>
      <c r="D1" s="162"/>
      <c r="E1" s="162"/>
      <c r="F1" s="162"/>
      <c r="G1" s="163"/>
    </row>
    <row r="2" spans="2:9" ht="13.5" customHeight="1">
      <c r="B2" s="164"/>
      <c r="H2" s="357"/>
      <c r="I2" s="357"/>
    </row>
    <row r="3" spans="1:9" s="16" customFormat="1" ht="19.5" customHeight="1">
      <c r="A3" s="354" t="s">
        <v>18</v>
      </c>
      <c r="B3" s="354" t="s">
        <v>19</v>
      </c>
      <c r="C3" s="354" t="s">
        <v>20</v>
      </c>
      <c r="D3" s="108" t="s">
        <v>94</v>
      </c>
      <c r="E3" s="108" t="s">
        <v>94</v>
      </c>
      <c r="F3" s="355" t="s">
        <v>47</v>
      </c>
      <c r="G3" s="356"/>
      <c r="H3" s="358" t="s">
        <v>373</v>
      </c>
      <c r="I3" s="359"/>
    </row>
    <row r="4" spans="1:9" s="16" customFormat="1" ht="19.5" customHeight="1">
      <c r="A4" s="354"/>
      <c r="B4" s="354"/>
      <c r="C4" s="354"/>
      <c r="D4" s="166" t="s">
        <v>187</v>
      </c>
      <c r="E4" s="110" t="s">
        <v>196</v>
      </c>
      <c r="F4" s="165" t="s">
        <v>48</v>
      </c>
      <c r="G4" s="167" t="s">
        <v>49</v>
      </c>
      <c r="H4" s="360"/>
      <c r="I4" s="361"/>
    </row>
    <row r="5" spans="1:9" s="16" customFormat="1" ht="16.5" customHeight="1">
      <c r="A5" s="117" t="s">
        <v>8</v>
      </c>
      <c r="B5" s="117"/>
      <c r="C5" s="117"/>
      <c r="D5" s="168">
        <f>D6+D20+D32+D40+D59+D56+D62</f>
        <v>2470876</v>
      </c>
      <c r="E5" s="168">
        <f>E6+E20+E32+E40+E59+E56+E62</f>
        <v>2488914</v>
      </c>
      <c r="F5" s="169">
        <f>E5-D5</f>
        <v>18038</v>
      </c>
      <c r="G5" s="170">
        <f>F5/D5</f>
        <v>0.007300244933375856</v>
      </c>
      <c r="H5" s="347"/>
      <c r="I5" s="348"/>
    </row>
    <row r="6" spans="1:9" s="16" customFormat="1" ht="16.5" customHeight="1">
      <c r="A6" s="171" t="s">
        <v>172</v>
      </c>
      <c r="B6" s="172"/>
      <c r="C6" s="172"/>
      <c r="D6" s="173">
        <f>D7</f>
        <v>371343</v>
      </c>
      <c r="E6" s="173">
        <f>E7</f>
        <v>371343</v>
      </c>
      <c r="F6" s="169">
        <f>E6-D6</f>
        <v>0</v>
      </c>
      <c r="G6" s="170">
        <f>F6/D6</f>
        <v>0</v>
      </c>
      <c r="H6" s="347"/>
      <c r="I6" s="348"/>
    </row>
    <row r="7" spans="1:9" s="16" customFormat="1" ht="16.5" customHeight="1">
      <c r="A7" s="174"/>
      <c r="B7" s="171" t="s">
        <v>21</v>
      </c>
      <c r="C7" s="172"/>
      <c r="D7" s="173">
        <f>D8+D16</f>
        <v>371343</v>
      </c>
      <c r="E7" s="173">
        <f>E8+E16</f>
        <v>371343</v>
      </c>
      <c r="F7" s="169">
        <f>E7-D7</f>
        <v>0</v>
      </c>
      <c r="G7" s="170">
        <f>F7/D7</f>
        <v>0</v>
      </c>
      <c r="H7" s="343"/>
      <c r="I7" s="344"/>
    </row>
    <row r="8" spans="1:9" s="16" customFormat="1" ht="15.75" customHeight="1">
      <c r="A8" s="174"/>
      <c r="B8" s="174"/>
      <c r="C8" s="171" t="s">
        <v>87</v>
      </c>
      <c r="D8" s="175">
        <v>288993</v>
      </c>
      <c r="E8" s="175">
        <v>288993</v>
      </c>
      <c r="F8" s="169">
        <f>E8-D8</f>
        <v>0</v>
      </c>
      <c r="G8" s="170">
        <f>F8/D8</f>
        <v>0</v>
      </c>
      <c r="H8" s="349" t="s">
        <v>95</v>
      </c>
      <c r="I8" s="350"/>
    </row>
    <row r="9" spans="1:9" s="16" customFormat="1" ht="15.75" customHeight="1">
      <c r="A9" s="174"/>
      <c r="B9" s="174"/>
      <c r="C9" s="174"/>
      <c r="D9" s="176"/>
      <c r="E9" s="176"/>
      <c r="F9" s="176"/>
      <c r="G9" s="177"/>
      <c r="H9" s="178"/>
      <c r="I9" s="179">
        <f>SUM(I10:I15)</f>
        <v>288992136</v>
      </c>
    </row>
    <row r="10" spans="1:16" s="21" customFormat="1" ht="15.75" customHeight="1">
      <c r="A10" s="180"/>
      <c r="B10" s="180"/>
      <c r="C10" s="127"/>
      <c r="D10" s="181"/>
      <c r="E10" s="181"/>
      <c r="F10" s="176"/>
      <c r="G10" s="177"/>
      <c r="H10" s="182" t="s">
        <v>257</v>
      </c>
      <c r="I10" s="179">
        <f>59250*30*0.2*4*6</f>
        <v>8532000</v>
      </c>
      <c r="K10" s="21">
        <v>59250</v>
      </c>
      <c r="L10" s="21">
        <v>30</v>
      </c>
      <c r="M10" s="34">
        <v>0.2</v>
      </c>
      <c r="N10" s="37">
        <v>4</v>
      </c>
      <c r="O10" s="21">
        <v>6</v>
      </c>
      <c r="P10" s="36">
        <f aca="true" t="shared" si="0" ref="P10:P15">K10*L10*M10*N10*O10</f>
        <v>8532000</v>
      </c>
    </row>
    <row r="11" spans="1:16" s="16" customFormat="1" ht="15.75" customHeight="1">
      <c r="A11" s="127"/>
      <c r="B11" s="127"/>
      <c r="C11" s="127"/>
      <c r="D11" s="181"/>
      <c r="E11" s="181"/>
      <c r="F11" s="176"/>
      <c r="G11" s="177"/>
      <c r="H11" s="182" t="s">
        <v>258</v>
      </c>
      <c r="I11" s="179">
        <f>59250*31*0.2*4*6</f>
        <v>8816400</v>
      </c>
      <c r="K11" s="16">
        <v>59250</v>
      </c>
      <c r="L11" s="16">
        <v>31</v>
      </c>
      <c r="M11" s="34">
        <v>0.2</v>
      </c>
      <c r="N11" s="38">
        <v>4</v>
      </c>
      <c r="O11" s="16">
        <v>6</v>
      </c>
      <c r="P11" s="36">
        <f t="shared" si="0"/>
        <v>8816400</v>
      </c>
    </row>
    <row r="12" spans="1:16" s="16" customFormat="1" ht="15.75" customHeight="1">
      <c r="A12" s="127"/>
      <c r="B12" s="127"/>
      <c r="C12" s="127"/>
      <c r="D12" s="181"/>
      <c r="E12" s="181"/>
      <c r="F12" s="176"/>
      <c r="G12" s="177"/>
      <c r="H12" s="182" t="s">
        <v>259</v>
      </c>
      <c r="I12" s="179">
        <f>54980*30*0.2*26*6</f>
        <v>51461280</v>
      </c>
      <c r="K12" s="16">
        <v>54980</v>
      </c>
      <c r="L12" s="16">
        <v>30</v>
      </c>
      <c r="M12" s="34">
        <v>0.2</v>
      </c>
      <c r="N12" s="37">
        <v>26</v>
      </c>
      <c r="O12" s="16">
        <v>6</v>
      </c>
      <c r="P12" s="36">
        <f t="shared" si="0"/>
        <v>51461280</v>
      </c>
    </row>
    <row r="13" spans="1:16" s="16" customFormat="1" ht="15.75" customHeight="1">
      <c r="A13" s="127"/>
      <c r="B13" s="127"/>
      <c r="C13" s="127"/>
      <c r="D13" s="181"/>
      <c r="E13" s="181"/>
      <c r="F13" s="176"/>
      <c r="G13" s="177"/>
      <c r="H13" s="182" t="s">
        <v>260</v>
      </c>
      <c r="I13" s="179">
        <f>54980*31*0.2*26*6</f>
        <v>53176656</v>
      </c>
      <c r="K13" s="16">
        <v>54980</v>
      </c>
      <c r="L13" s="16">
        <v>31</v>
      </c>
      <c r="M13" s="34">
        <v>0.2</v>
      </c>
      <c r="N13" s="38">
        <v>26</v>
      </c>
      <c r="O13" s="16">
        <v>6</v>
      </c>
      <c r="P13" s="36">
        <f t="shared" si="0"/>
        <v>53176656</v>
      </c>
    </row>
    <row r="14" spans="1:16" s="16" customFormat="1" ht="15.75" customHeight="1">
      <c r="A14" s="127"/>
      <c r="B14" s="127"/>
      <c r="C14" s="127"/>
      <c r="D14" s="181"/>
      <c r="E14" s="181"/>
      <c r="F14" s="176"/>
      <c r="G14" s="177"/>
      <c r="H14" s="182" t="s">
        <v>261</v>
      </c>
      <c r="I14" s="179">
        <f>50700*30*0.2*45*6</f>
        <v>82134000</v>
      </c>
      <c r="K14" s="16">
        <v>50700</v>
      </c>
      <c r="L14" s="16">
        <v>30</v>
      </c>
      <c r="M14" s="34">
        <v>0.2</v>
      </c>
      <c r="N14" s="37">
        <v>45</v>
      </c>
      <c r="O14" s="16">
        <v>6</v>
      </c>
      <c r="P14" s="36">
        <f t="shared" si="0"/>
        <v>82134000</v>
      </c>
    </row>
    <row r="15" spans="1:16" s="16" customFormat="1" ht="15.75" customHeight="1">
      <c r="A15" s="127"/>
      <c r="B15" s="127"/>
      <c r="C15" s="127"/>
      <c r="D15" s="181"/>
      <c r="E15" s="181"/>
      <c r="F15" s="183"/>
      <c r="G15" s="184"/>
      <c r="H15" s="185" t="s">
        <v>262</v>
      </c>
      <c r="I15" s="186">
        <f>50700*31*0.2*45*6</f>
        <v>84871800</v>
      </c>
      <c r="K15" s="16">
        <v>50700</v>
      </c>
      <c r="L15" s="16">
        <v>31</v>
      </c>
      <c r="M15" s="34">
        <v>0.2</v>
      </c>
      <c r="N15" s="38">
        <v>45</v>
      </c>
      <c r="O15" s="16">
        <v>6</v>
      </c>
      <c r="P15" s="36">
        <f t="shared" si="0"/>
        <v>84871800</v>
      </c>
    </row>
    <row r="16" spans="1:9" s="16" customFormat="1" ht="15.75" customHeight="1">
      <c r="A16" s="127"/>
      <c r="B16" s="127"/>
      <c r="C16" s="171" t="s">
        <v>88</v>
      </c>
      <c r="D16" s="175">
        <v>82350</v>
      </c>
      <c r="E16" s="175">
        <v>82350</v>
      </c>
      <c r="F16" s="175">
        <f>E16-D16</f>
        <v>0</v>
      </c>
      <c r="G16" s="170">
        <f>F16/D16</f>
        <v>0</v>
      </c>
      <c r="H16" s="187" t="s">
        <v>89</v>
      </c>
      <c r="I16" s="188"/>
    </row>
    <row r="17" spans="1:9" s="16" customFormat="1" ht="15.75" customHeight="1">
      <c r="A17" s="127"/>
      <c r="B17" s="127"/>
      <c r="C17" s="174"/>
      <c r="D17" s="176"/>
      <c r="E17" s="176"/>
      <c r="F17" s="176"/>
      <c r="G17" s="177"/>
      <c r="H17" s="178"/>
      <c r="I17" s="189">
        <f>SUM(I18:I19)</f>
        <v>82350000</v>
      </c>
    </row>
    <row r="18" spans="1:9" s="16" customFormat="1" ht="15.75" customHeight="1">
      <c r="A18" s="127"/>
      <c r="B18" s="127"/>
      <c r="C18" s="127"/>
      <c r="D18" s="181"/>
      <c r="E18" s="181"/>
      <c r="F18" s="176"/>
      <c r="G18" s="177"/>
      <c r="H18" s="190" t="s">
        <v>263</v>
      </c>
      <c r="I18" s="189">
        <f>90000*75*6</f>
        <v>40500000</v>
      </c>
    </row>
    <row r="19" spans="1:9" s="16" customFormat="1" ht="15.75" customHeight="1">
      <c r="A19" s="127"/>
      <c r="B19" s="127"/>
      <c r="C19" s="127"/>
      <c r="D19" s="181"/>
      <c r="E19" s="181"/>
      <c r="F19" s="183"/>
      <c r="G19" s="184"/>
      <c r="H19" s="191" t="s">
        <v>264</v>
      </c>
      <c r="I19" s="189">
        <f>93000*75*6</f>
        <v>41850000</v>
      </c>
    </row>
    <row r="20" spans="1:9" s="16" customFormat="1" ht="17.25" customHeight="1">
      <c r="A20" s="192" t="s">
        <v>22</v>
      </c>
      <c r="B20" s="193"/>
      <c r="C20" s="172"/>
      <c r="D20" s="173">
        <f>D21</f>
        <v>179926</v>
      </c>
      <c r="E20" s="173">
        <f>E21</f>
        <v>179926</v>
      </c>
      <c r="F20" s="169">
        <f>E20-D20</f>
        <v>0</v>
      </c>
      <c r="G20" s="170">
        <f>F20/D20</f>
        <v>0</v>
      </c>
      <c r="H20" s="345"/>
      <c r="I20" s="346"/>
    </row>
    <row r="21" spans="1:9" s="16" customFormat="1" ht="17.25" customHeight="1">
      <c r="A21" s="137"/>
      <c r="B21" s="121" t="s">
        <v>22</v>
      </c>
      <c r="C21" s="194"/>
      <c r="D21" s="195">
        <f>D22</f>
        <v>179926</v>
      </c>
      <c r="E21" s="195">
        <f>E22</f>
        <v>179926</v>
      </c>
      <c r="F21" s="169">
        <f>E21-D21</f>
        <v>0</v>
      </c>
      <c r="G21" s="170">
        <f>F21/D21</f>
        <v>0</v>
      </c>
      <c r="H21" s="196"/>
      <c r="I21" s="197"/>
    </row>
    <row r="22" spans="1:9" s="16" customFormat="1" ht="17.25" customHeight="1">
      <c r="A22" s="137"/>
      <c r="B22" s="137"/>
      <c r="C22" s="198" t="s">
        <v>83</v>
      </c>
      <c r="D22" s="175">
        <v>179926</v>
      </c>
      <c r="E22" s="175">
        <v>179926</v>
      </c>
      <c r="F22" s="169">
        <f>E22-D22</f>
        <v>0</v>
      </c>
      <c r="G22" s="170">
        <f>F22/D22</f>
        <v>0</v>
      </c>
      <c r="H22" s="199" t="s">
        <v>84</v>
      </c>
      <c r="I22" s="200">
        <f>SUM(I23:I31)</f>
        <v>179925550</v>
      </c>
    </row>
    <row r="23" spans="1:9" s="16" customFormat="1" ht="17.25" customHeight="1">
      <c r="A23" s="137"/>
      <c r="B23" s="137"/>
      <c r="C23" s="198"/>
      <c r="D23" s="176"/>
      <c r="E23" s="176"/>
      <c r="F23" s="201"/>
      <c r="G23" s="202"/>
      <c r="H23" s="203" t="s">
        <v>96</v>
      </c>
      <c r="I23" s="204">
        <f>120000*40*12</f>
        <v>57600000</v>
      </c>
    </row>
    <row r="24" spans="1:9" s="16" customFormat="1" ht="17.25" customHeight="1">
      <c r="A24" s="137"/>
      <c r="B24" s="137"/>
      <c r="C24" s="198"/>
      <c r="D24" s="176"/>
      <c r="E24" s="176"/>
      <c r="F24" s="201"/>
      <c r="G24" s="202"/>
      <c r="H24" s="205" t="s">
        <v>97</v>
      </c>
      <c r="I24" s="204">
        <f>120000*3*4</f>
        <v>1440000</v>
      </c>
    </row>
    <row r="25" spans="1:9" s="16" customFormat="1" ht="17.25" customHeight="1">
      <c r="A25" s="137"/>
      <c r="B25" s="137"/>
      <c r="C25" s="198"/>
      <c r="D25" s="176"/>
      <c r="E25" s="176"/>
      <c r="F25" s="201"/>
      <c r="G25" s="202"/>
      <c r="H25" s="205" t="s">
        <v>98</v>
      </c>
      <c r="I25" s="204">
        <f>150000*3*8</f>
        <v>3600000</v>
      </c>
    </row>
    <row r="26" spans="1:9" s="16" customFormat="1" ht="17.25" customHeight="1">
      <c r="A26" s="137"/>
      <c r="B26" s="137"/>
      <c r="C26" s="198"/>
      <c r="D26" s="176"/>
      <c r="E26" s="176"/>
      <c r="F26" s="201"/>
      <c r="G26" s="202"/>
      <c r="H26" s="205" t="s">
        <v>99</v>
      </c>
      <c r="I26" s="204">
        <f>150000*12*12</f>
        <v>21600000</v>
      </c>
    </row>
    <row r="27" spans="1:9" s="16" customFormat="1" ht="17.25" customHeight="1">
      <c r="A27" s="137"/>
      <c r="B27" s="137"/>
      <c r="C27" s="198"/>
      <c r="D27" s="206"/>
      <c r="E27" s="206"/>
      <c r="F27" s="176"/>
      <c r="G27" s="177"/>
      <c r="H27" s="203" t="s">
        <v>100</v>
      </c>
      <c r="I27" s="189">
        <f>248371*25*12</f>
        <v>74511300</v>
      </c>
    </row>
    <row r="28" spans="1:9" s="16" customFormat="1" ht="17.25" customHeight="1">
      <c r="A28" s="137"/>
      <c r="B28" s="137"/>
      <c r="C28" s="198"/>
      <c r="D28" s="206"/>
      <c r="E28" s="206"/>
      <c r="F28" s="176"/>
      <c r="G28" s="177"/>
      <c r="H28" s="203" t="s">
        <v>253</v>
      </c>
      <c r="I28" s="189">
        <f>35000*25*2</f>
        <v>1750000</v>
      </c>
    </row>
    <row r="29" spans="1:9" s="16" customFormat="1" ht="17.25" customHeight="1">
      <c r="A29" s="138"/>
      <c r="B29" s="138"/>
      <c r="C29" s="207"/>
      <c r="D29" s="208"/>
      <c r="E29" s="208"/>
      <c r="F29" s="183"/>
      <c r="G29" s="184"/>
      <c r="H29" s="209" t="s">
        <v>254</v>
      </c>
      <c r="I29" s="210">
        <f>34722*25*1</f>
        <v>868050</v>
      </c>
    </row>
    <row r="30" spans="1:9" s="16" customFormat="1" ht="17.25" customHeight="1">
      <c r="A30" s="137"/>
      <c r="B30" s="137"/>
      <c r="C30" s="198"/>
      <c r="D30" s="206"/>
      <c r="E30" s="206"/>
      <c r="F30" s="176"/>
      <c r="G30" s="177"/>
      <c r="H30" s="205" t="s">
        <v>255</v>
      </c>
      <c r="I30" s="189">
        <f>50700*31*1*6</f>
        <v>9430200</v>
      </c>
    </row>
    <row r="31" spans="1:9" s="16" customFormat="1" ht="17.25" customHeight="1">
      <c r="A31" s="138"/>
      <c r="B31" s="138"/>
      <c r="C31" s="207"/>
      <c r="D31" s="208"/>
      <c r="E31" s="208"/>
      <c r="F31" s="183"/>
      <c r="G31" s="184"/>
      <c r="H31" s="205" t="s">
        <v>256</v>
      </c>
      <c r="I31" s="211">
        <f>50700*30*1*6</f>
        <v>9126000</v>
      </c>
    </row>
    <row r="32" spans="1:9" s="16" customFormat="1" ht="21" customHeight="1">
      <c r="A32" s="192" t="s">
        <v>77</v>
      </c>
      <c r="B32" s="193"/>
      <c r="C32" s="172"/>
      <c r="D32" s="173">
        <f>D33</f>
        <v>24600</v>
      </c>
      <c r="E32" s="173">
        <f>E33</f>
        <v>24600</v>
      </c>
      <c r="F32" s="169">
        <f>E32-D32</f>
        <v>0</v>
      </c>
      <c r="G32" s="170">
        <f>F32/D32</f>
        <v>0</v>
      </c>
      <c r="H32" s="212"/>
      <c r="I32" s="213"/>
    </row>
    <row r="33" spans="1:9" s="16" customFormat="1" ht="21" customHeight="1">
      <c r="A33" s="214"/>
      <c r="B33" s="192" t="s">
        <v>77</v>
      </c>
      <c r="C33" s="215"/>
      <c r="D33" s="176">
        <f>D34+D37</f>
        <v>24600</v>
      </c>
      <c r="E33" s="176">
        <f>E34+E37</f>
        <v>24600</v>
      </c>
      <c r="F33" s="169">
        <f>E33-D33</f>
        <v>0</v>
      </c>
      <c r="G33" s="170">
        <f>F33/D33</f>
        <v>0</v>
      </c>
      <c r="H33" s="216"/>
      <c r="I33" s="210"/>
    </row>
    <row r="34" spans="1:9" s="16" customFormat="1" ht="21" customHeight="1">
      <c r="A34" s="214"/>
      <c r="B34" s="214"/>
      <c r="C34" s="174" t="s">
        <v>78</v>
      </c>
      <c r="D34" s="175">
        <v>600</v>
      </c>
      <c r="E34" s="175">
        <v>600</v>
      </c>
      <c r="F34" s="169">
        <f>E34-D34</f>
        <v>0</v>
      </c>
      <c r="G34" s="170">
        <f>F34/D34</f>
        <v>0</v>
      </c>
      <c r="H34" s="217" t="s">
        <v>79</v>
      </c>
      <c r="I34" s="218"/>
    </row>
    <row r="35" spans="1:9" s="16" customFormat="1" ht="21" customHeight="1">
      <c r="A35" s="214"/>
      <c r="B35" s="214"/>
      <c r="C35" s="174"/>
      <c r="D35" s="176"/>
      <c r="E35" s="176"/>
      <c r="F35" s="176"/>
      <c r="G35" s="177"/>
      <c r="H35" s="178"/>
      <c r="I35" s="189">
        <f>I36</f>
        <v>600000</v>
      </c>
    </row>
    <row r="36" spans="1:9" s="16" customFormat="1" ht="21" customHeight="1">
      <c r="A36" s="214"/>
      <c r="B36" s="214"/>
      <c r="C36" s="155"/>
      <c r="D36" s="219"/>
      <c r="E36" s="219"/>
      <c r="F36" s="183"/>
      <c r="G36" s="184"/>
      <c r="H36" s="220" t="s">
        <v>108</v>
      </c>
      <c r="I36" s="210">
        <f>50000*12</f>
        <v>600000</v>
      </c>
    </row>
    <row r="37" spans="1:9" s="16" customFormat="1" ht="21" customHeight="1">
      <c r="A37" s="214"/>
      <c r="B37" s="214"/>
      <c r="C37" s="174" t="s">
        <v>17</v>
      </c>
      <c r="D37" s="175">
        <v>24000</v>
      </c>
      <c r="E37" s="175">
        <v>24000</v>
      </c>
      <c r="F37" s="169">
        <f>E37-D37</f>
        <v>0</v>
      </c>
      <c r="G37" s="170">
        <f>F37/D37</f>
        <v>0</v>
      </c>
      <c r="H37" s="217" t="s">
        <v>41</v>
      </c>
      <c r="I37" s="218"/>
    </row>
    <row r="38" spans="1:9" s="16" customFormat="1" ht="21" customHeight="1">
      <c r="A38" s="214"/>
      <c r="B38" s="214"/>
      <c r="C38" s="174"/>
      <c r="D38" s="176"/>
      <c r="E38" s="176"/>
      <c r="F38" s="176"/>
      <c r="G38" s="177"/>
      <c r="H38" s="178"/>
      <c r="I38" s="189">
        <f>I39</f>
        <v>24000000</v>
      </c>
    </row>
    <row r="39" spans="1:9" s="16" customFormat="1" ht="21" customHeight="1">
      <c r="A39" s="221"/>
      <c r="B39" s="221"/>
      <c r="C39" s="155"/>
      <c r="D39" s="219"/>
      <c r="E39" s="219"/>
      <c r="F39" s="183"/>
      <c r="G39" s="184"/>
      <c r="H39" s="220" t="s">
        <v>109</v>
      </c>
      <c r="I39" s="210">
        <f>2000000*12</f>
        <v>24000000</v>
      </c>
    </row>
    <row r="40" spans="1:9" s="16" customFormat="1" ht="19.5" customHeight="1">
      <c r="A40" s="192" t="s">
        <v>90</v>
      </c>
      <c r="B40" s="172"/>
      <c r="C40" s="172"/>
      <c r="D40" s="173">
        <f>D41</f>
        <v>1684911</v>
      </c>
      <c r="E40" s="173">
        <f>E41</f>
        <v>1693688</v>
      </c>
      <c r="F40" s="169">
        <f>E40-D40</f>
        <v>8777</v>
      </c>
      <c r="G40" s="170">
        <f>F40/D40</f>
        <v>0.00520917722063658</v>
      </c>
      <c r="H40" s="212"/>
      <c r="I40" s="222"/>
    </row>
    <row r="41" spans="1:9" s="16" customFormat="1" ht="19.5" customHeight="1">
      <c r="A41" s="214"/>
      <c r="B41" s="192" t="s">
        <v>90</v>
      </c>
      <c r="C41" s="172"/>
      <c r="D41" s="173">
        <f>D42</f>
        <v>1684911</v>
      </c>
      <c r="E41" s="173">
        <f>E42</f>
        <v>1693688</v>
      </c>
      <c r="F41" s="169">
        <f>E41-D41</f>
        <v>8777</v>
      </c>
      <c r="G41" s="170">
        <f>F41/D41</f>
        <v>0.00520917722063658</v>
      </c>
      <c r="H41" s="223"/>
      <c r="I41" s="224"/>
    </row>
    <row r="42" spans="1:9" s="16" customFormat="1" ht="19.5" customHeight="1">
      <c r="A42" s="214"/>
      <c r="B42" s="214"/>
      <c r="C42" s="192" t="s">
        <v>23</v>
      </c>
      <c r="D42" s="169">
        <v>1684911</v>
      </c>
      <c r="E42" s="169">
        <v>1693688</v>
      </c>
      <c r="F42" s="169">
        <f>E42-D42</f>
        <v>8777</v>
      </c>
      <c r="G42" s="170">
        <f>F42/D42</f>
        <v>0.00520917722063658</v>
      </c>
      <c r="H42" s="351" t="s">
        <v>174</v>
      </c>
      <c r="I42" s="352"/>
    </row>
    <row r="43" spans="1:9" s="16" customFormat="1" ht="19.5" customHeight="1">
      <c r="A43" s="214"/>
      <c r="B43" s="214"/>
      <c r="C43" s="214"/>
      <c r="D43" s="201"/>
      <c r="E43" s="201"/>
      <c r="F43" s="176"/>
      <c r="G43" s="177"/>
      <c r="H43" s="225"/>
      <c r="I43" s="189">
        <f>SUM(I44:I55)</f>
        <v>1693688298.432</v>
      </c>
    </row>
    <row r="44" spans="1:15" s="16" customFormat="1" ht="19.5" customHeight="1">
      <c r="A44" s="214"/>
      <c r="B44" s="214"/>
      <c r="C44" s="214"/>
      <c r="D44" s="201"/>
      <c r="E44" s="201"/>
      <c r="F44" s="176"/>
      <c r="G44" s="177"/>
      <c r="H44" s="182" t="s">
        <v>271</v>
      </c>
      <c r="I44" s="226">
        <f>59250*31*4*6+(59250*31*4*6)*0.04</f>
        <v>45845280</v>
      </c>
      <c r="K44" s="47">
        <f>59250*31*4*6+(59250*31*4*6)*0.04</f>
        <v>45845280</v>
      </c>
      <c r="L44" s="36"/>
      <c r="M44" s="36"/>
      <c r="N44" s="34"/>
      <c r="O44" s="21"/>
    </row>
    <row r="45" spans="1:15" s="16" customFormat="1" ht="19.5" customHeight="1">
      <c r="A45" s="214"/>
      <c r="B45" s="214"/>
      <c r="C45" s="214"/>
      <c r="D45" s="201"/>
      <c r="E45" s="201"/>
      <c r="F45" s="176"/>
      <c r="G45" s="177"/>
      <c r="H45" s="182" t="s">
        <v>272</v>
      </c>
      <c r="I45" s="226">
        <f>59250*30*4*6+(59250*30*4*6)*0.04</f>
        <v>44366400</v>
      </c>
      <c r="K45" s="47">
        <f>59250*30*4*6+(59250*30*4*6)*0.04</f>
        <v>44366400</v>
      </c>
      <c r="M45" s="35"/>
      <c r="N45" s="35"/>
      <c r="O45" s="21"/>
    </row>
    <row r="46" spans="1:15" s="16" customFormat="1" ht="19.5" customHeight="1">
      <c r="A46" s="214"/>
      <c r="B46" s="214"/>
      <c r="C46" s="214"/>
      <c r="D46" s="201"/>
      <c r="E46" s="201"/>
      <c r="F46" s="176"/>
      <c r="G46" s="177"/>
      <c r="H46" s="182" t="s">
        <v>273</v>
      </c>
      <c r="I46" s="226">
        <f>59250*31*0.8*4*6+(59250*31*0.8*4*6)*0.04</f>
        <v>36676224</v>
      </c>
      <c r="K46" s="47">
        <f>59250*31*0.8*4*6+(59250*31*0.8*4*6)*0.04</f>
        <v>36676224</v>
      </c>
      <c r="M46" s="35"/>
      <c r="N46" s="35"/>
      <c r="O46" s="21"/>
    </row>
    <row r="47" spans="1:15" s="16" customFormat="1" ht="19.5" customHeight="1">
      <c r="A47" s="214"/>
      <c r="B47" s="214"/>
      <c r="C47" s="214"/>
      <c r="D47" s="201"/>
      <c r="E47" s="201"/>
      <c r="F47" s="176"/>
      <c r="G47" s="177"/>
      <c r="H47" s="182" t="s">
        <v>274</v>
      </c>
      <c r="I47" s="226">
        <f>59250*30*0.8*4*6+(59250*30*0.8*4*6)*0.04</f>
        <v>35493120</v>
      </c>
      <c r="K47" s="47">
        <f>59250*30*0.8*4*6+(59250*30*0.8*4*6)*0.04</f>
        <v>35493120</v>
      </c>
      <c r="M47" s="34"/>
      <c r="N47" s="34"/>
      <c r="O47" s="21"/>
    </row>
    <row r="48" spans="1:15" s="16" customFormat="1" ht="19.5" customHeight="1">
      <c r="A48" s="214"/>
      <c r="B48" s="214"/>
      <c r="C48" s="214"/>
      <c r="D48" s="201"/>
      <c r="E48" s="201"/>
      <c r="F48" s="176"/>
      <c r="G48" s="177"/>
      <c r="H48" s="182" t="s">
        <v>275</v>
      </c>
      <c r="I48" s="226">
        <f>54980*31*9*6+(54980*31*9*6)*0.04</f>
        <v>95717980.8</v>
      </c>
      <c r="K48" s="47">
        <f>54980*31*9*6+(54980*31*9*6)*0.04</f>
        <v>95717980.8</v>
      </c>
      <c r="M48" s="35"/>
      <c r="N48" s="35"/>
      <c r="O48" s="21"/>
    </row>
    <row r="49" spans="1:15" s="16" customFormat="1" ht="19.5" customHeight="1">
      <c r="A49" s="214"/>
      <c r="B49" s="214"/>
      <c r="C49" s="214"/>
      <c r="D49" s="201"/>
      <c r="E49" s="201"/>
      <c r="F49" s="176"/>
      <c r="G49" s="177"/>
      <c r="H49" s="182" t="s">
        <v>276</v>
      </c>
      <c r="I49" s="226">
        <f>54980*30*9*6+(54980*30*9*6)*0.04</f>
        <v>92630304</v>
      </c>
      <c r="K49" s="47">
        <f>54980*30*9*6+(54980*30*9*6)*0.04</f>
        <v>92630304</v>
      </c>
      <c r="M49" s="35"/>
      <c r="N49" s="35"/>
      <c r="O49" s="21"/>
    </row>
    <row r="50" spans="1:15" s="16" customFormat="1" ht="19.5" customHeight="1">
      <c r="A50" s="214"/>
      <c r="B50" s="214"/>
      <c r="C50" s="214"/>
      <c r="D50" s="201"/>
      <c r="E50" s="201"/>
      <c r="F50" s="176"/>
      <c r="G50" s="177"/>
      <c r="H50" s="182" t="s">
        <v>277</v>
      </c>
      <c r="I50" s="226">
        <f>54980*31*0.8*26*6+(54980*31*0.8*26*6)*0.043</f>
        <v>221853008.832</v>
      </c>
      <c r="K50" s="47">
        <f>54980*31*0.8*26*6+(54980*31*0.8*26*6)*0.043</f>
        <v>221853008.832</v>
      </c>
      <c r="M50" s="35"/>
      <c r="N50" s="35"/>
      <c r="O50" s="21"/>
    </row>
    <row r="51" spans="1:15" s="16" customFormat="1" ht="19.5" customHeight="1">
      <c r="A51" s="221"/>
      <c r="B51" s="221"/>
      <c r="C51" s="221"/>
      <c r="D51" s="227"/>
      <c r="E51" s="227"/>
      <c r="F51" s="183"/>
      <c r="G51" s="184"/>
      <c r="H51" s="185" t="s">
        <v>278</v>
      </c>
      <c r="I51" s="228">
        <f>54980*30*0.8*26*6+(54980*30*0.8*26*6)*0.04</f>
        <v>214078924.8</v>
      </c>
      <c r="K51" s="48">
        <f>54980*30*0.8*26*6+(54980*30*0.8*26*6)*0.04</f>
        <v>214078924.8</v>
      </c>
      <c r="M51" s="35"/>
      <c r="N51" s="35"/>
      <c r="O51" s="21"/>
    </row>
    <row r="52" spans="1:15" s="16" customFormat="1" ht="19.5" customHeight="1">
      <c r="A52" s="214"/>
      <c r="B52" s="214"/>
      <c r="C52" s="214"/>
      <c r="D52" s="201"/>
      <c r="E52" s="201"/>
      <c r="F52" s="176"/>
      <c r="G52" s="177"/>
      <c r="H52" s="182" t="s">
        <v>279</v>
      </c>
      <c r="I52" s="226">
        <f>50700*31*11*6+(50700*31*11*6)*0.04</f>
        <v>107881488</v>
      </c>
      <c r="K52" s="47">
        <f>50700*31*11*6+(50700*31*11*6)*0.04</f>
        <v>107881488</v>
      </c>
      <c r="M52" s="35"/>
      <c r="N52" s="35"/>
      <c r="O52" s="21"/>
    </row>
    <row r="53" spans="1:15" s="16" customFormat="1" ht="19.5" customHeight="1">
      <c r="A53" s="214"/>
      <c r="B53" s="214"/>
      <c r="C53" s="214"/>
      <c r="D53" s="201"/>
      <c r="E53" s="201"/>
      <c r="F53" s="176"/>
      <c r="G53" s="177"/>
      <c r="H53" s="182" t="s">
        <v>280</v>
      </c>
      <c r="I53" s="226">
        <f>50700*30*11*6+(50700*30*11*6)*0.04</f>
        <v>104401440</v>
      </c>
      <c r="K53" s="47">
        <f>50700*30*11*6+(50700*30*11*6)*0.04</f>
        <v>104401440</v>
      </c>
      <c r="M53" s="34"/>
      <c r="N53" s="34"/>
      <c r="O53" s="21"/>
    </row>
    <row r="54" spans="1:15" s="16" customFormat="1" ht="19.5" customHeight="1">
      <c r="A54" s="214"/>
      <c r="B54" s="214"/>
      <c r="C54" s="214"/>
      <c r="D54" s="201"/>
      <c r="E54" s="201"/>
      <c r="F54" s="176"/>
      <c r="G54" s="177"/>
      <c r="H54" s="182" t="s">
        <v>281</v>
      </c>
      <c r="I54" s="226">
        <f>50700*31*0.8*45*6+(50700*31*0.8*45*6)*0.04</f>
        <v>353066688</v>
      </c>
      <c r="K54" s="47">
        <f>50700*31*0.8*45*6+(50700*31*0.8*45*6)*0.04</f>
        <v>353066688</v>
      </c>
      <c r="M54" s="35"/>
      <c r="N54" s="35"/>
      <c r="O54" s="21"/>
    </row>
    <row r="55" spans="1:15" s="16" customFormat="1" ht="19.5" customHeight="1">
      <c r="A55" s="221"/>
      <c r="B55" s="221"/>
      <c r="C55" s="221"/>
      <c r="D55" s="227"/>
      <c r="E55" s="227"/>
      <c r="F55" s="183"/>
      <c r="G55" s="184"/>
      <c r="H55" s="182" t="s">
        <v>282</v>
      </c>
      <c r="I55" s="226">
        <f>50700*30*0.8*45*6+(50700*30*0.8*45*6)*0.04</f>
        <v>341677440</v>
      </c>
      <c r="K55" s="47">
        <f>50700*30*0.8*45*6+(50700*30*0.8*45*6)*0.04</f>
        <v>341677440</v>
      </c>
      <c r="M55" s="35"/>
      <c r="N55" s="35"/>
      <c r="O55" s="21"/>
    </row>
    <row r="56" spans="1:15" s="16" customFormat="1" ht="19.5" customHeight="1">
      <c r="A56" s="192" t="s">
        <v>101</v>
      </c>
      <c r="B56" s="193"/>
      <c r="C56" s="229"/>
      <c r="D56" s="173">
        <f>D57</f>
        <v>150000</v>
      </c>
      <c r="E56" s="173">
        <f>E57</f>
        <v>150000</v>
      </c>
      <c r="F56" s="169">
        <f>E56-D56</f>
        <v>0</v>
      </c>
      <c r="G56" s="170">
        <f>F56/D56</f>
        <v>0</v>
      </c>
      <c r="H56" s="212"/>
      <c r="I56" s="222"/>
      <c r="M56" s="35"/>
      <c r="N56" s="35"/>
      <c r="O56" s="21"/>
    </row>
    <row r="57" spans="1:15" s="16" customFormat="1" ht="19.5" customHeight="1">
      <c r="A57" s="214"/>
      <c r="B57" s="192" t="s">
        <v>101</v>
      </c>
      <c r="C57" s="229"/>
      <c r="D57" s="173">
        <f>D58</f>
        <v>150000</v>
      </c>
      <c r="E57" s="173">
        <f>E58</f>
        <v>150000</v>
      </c>
      <c r="F57" s="169">
        <f>E57-D57</f>
        <v>0</v>
      </c>
      <c r="G57" s="170">
        <f aca="true" t="shared" si="1" ref="G57:G63">F57/D57</f>
        <v>0</v>
      </c>
      <c r="H57" s="217" t="s">
        <v>103</v>
      </c>
      <c r="I57" s="224"/>
      <c r="M57" s="35"/>
      <c r="N57" s="35"/>
      <c r="O57" s="21"/>
    </row>
    <row r="58" spans="1:15" s="16" customFormat="1" ht="19.5" customHeight="1">
      <c r="A58" s="214"/>
      <c r="B58" s="214"/>
      <c r="C58" s="230" t="s">
        <v>102</v>
      </c>
      <c r="D58" s="176">
        <v>150000</v>
      </c>
      <c r="E58" s="176">
        <v>150000</v>
      </c>
      <c r="F58" s="169">
        <f>E58-D58</f>
        <v>0</v>
      </c>
      <c r="G58" s="170">
        <f t="shared" si="1"/>
        <v>0</v>
      </c>
      <c r="H58" s="220" t="s">
        <v>110</v>
      </c>
      <c r="I58" s="210">
        <v>150000000</v>
      </c>
      <c r="M58" s="35"/>
      <c r="N58" s="35"/>
      <c r="O58" s="21"/>
    </row>
    <row r="59" spans="1:9" s="16" customFormat="1" ht="19.5" customHeight="1">
      <c r="A59" s="192" t="s">
        <v>0</v>
      </c>
      <c r="B59" s="193"/>
      <c r="C59" s="229"/>
      <c r="D59" s="173">
        <f>D60</f>
        <v>15000</v>
      </c>
      <c r="E59" s="173">
        <f>E60</f>
        <v>4297</v>
      </c>
      <c r="F59" s="175" t="s">
        <v>199</v>
      </c>
      <c r="G59" s="231" t="s">
        <v>200</v>
      </c>
      <c r="H59" s="212"/>
      <c r="I59" s="222"/>
    </row>
    <row r="60" spans="1:9" s="16" customFormat="1" ht="19.5" customHeight="1">
      <c r="A60" s="214"/>
      <c r="B60" s="192" t="s">
        <v>0</v>
      </c>
      <c r="C60" s="229"/>
      <c r="D60" s="173">
        <f>D61</f>
        <v>15000</v>
      </c>
      <c r="E60" s="173">
        <f>E61</f>
        <v>4297</v>
      </c>
      <c r="F60" s="175" t="s">
        <v>199</v>
      </c>
      <c r="G60" s="231" t="s">
        <v>200</v>
      </c>
      <c r="H60" s="217" t="s">
        <v>86</v>
      </c>
      <c r="I60" s="224"/>
    </row>
    <row r="61" spans="1:9" s="16" customFormat="1" ht="19.5" customHeight="1">
      <c r="A61" s="214"/>
      <c r="B61" s="214"/>
      <c r="C61" s="230" t="s">
        <v>85</v>
      </c>
      <c r="D61" s="176">
        <v>15000</v>
      </c>
      <c r="E61" s="176">
        <v>4297</v>
      </c>
      <c r="F61" s="175" t="s">
        <v>199</v>
      </c>
      <c r="G61" s="231" t="s">
        <v>200</v>
      </c>
      <c r="H61" s="232" t="s">
        <v>85</v>
      </c>
      <c r="I61" s="210">
        <v>4297099</v>
      </c>
    </row>
    <row r="62" spans="1:9" s="16" customFormat="1" ht="18.75" customHeight="1">
      <c r="A62" s="192" t="s">
        <v>24</v>
      </c>
      <c r="B62" s="193"/>
      <c r="C62" s="172"/>
      <c r="D62" s="173">
        <f>D63</f>
        <v>45096</v>
      </c>
      <c r="E62" s="173">
        <f>E63</f>
        <v>65060</v>
      </c>
      <c r="F62" s="169">
        <f>E62-D62</f>
        <v>19964</v>
      </c>
      <c r="G62" s="170">
        <f t="shared" si="1"/>
        <v>0.44270001773993256</v>
      </c>
      <c r="H62" s="212"/>
      <c r="I62" s="222"/>
    </row>
    <row r="63" spans="1:9" s="16" customFormat="1" ht="18.75" customHeight="1">
      <c r="A63" s="214"/>
      <c r="B63" s="192" t="s">
        <v>24</v>
      </c>
      <c r="C63" s="172"/>
      <c r="D63" s="183">
        <f>D64+D67</f>
        <v>45096</v>
      </c>
      <c r="E63" s="183">
        <f>E64+E67</f>
        <v>65060</v>
      </c>
      <c r="F63" s="169">
        <f>E63-D63</f>
        <v>19964</v>
      </c>
      <c r="G63" s="170">
        <f t="shared" si="1"/>
        <v>0.44270001773993256</v>
      </c>
      <c r="H63" s="212"/>
      <c r="I63" s="222"/>
    </row>
    <row r="64" spans="1:9" s="16" customFormat="1" ht="18.75" customHeight="1">
      <c r="A64" s="214"/>
      <c r="B64" s="214"/>
      <c r="C64" s="174" t="s">
        <v>80</v>
      </c>
      <c r="D64" s="176">
        <v>300</v>
      </c>
      <c r="E64" s="176">
        <v>300</v>
      </c>
      <c r="F64" s="175">
        <f>E64-D64</f>
        <v>0</v>
      </c>
      <c r="G64" s="231">
        <f>F64/D64</f>
        <v>0</v>
      </c>
      <c r="H64" s="217" t="s">
        <v>50</v>
      </c>
      <c r="I64" s="224"/>
    </row>
    <row r="65" spans="1:9" s="16" customFormat="1" ht="18.75" customHeight="1">
      <c r="A65" s="214"/>
      <c r="B65" s="214"/>
      <c r="C65" s="174"/>
      <c r="D65" s="176"/>
      <c r="E65" s="176"/>
      <c r="F65" s="176"/>
      <c r="G65" s="177"/>
      <c r="H65" s="178"/>
      <c r="I65" s="189">
        <f>I66</f>
        <v>300000</v>
      </c>
    </row>
    <row r="66" spans="1:9" s="16" customFormat="1" ht="18.75" customHeight="1">
      <c r="A66" s="214"/>
      <c r="B66" s="214"/>
      <c r="C66" s="155"/>
      <c r="D66" s="219"/>
      <c r="E66" s="219"/>
      <c r="F66" s="183"/>
      <c r="G66" s="184"/>
      <c r="H66" s="233" t="s">
        <v>265</v>
      </c>
      <c r="I66" s="189">
        <v>300000</v>
      </c>
    </row>
    <row r="67" spans="1:9" s="16" customFormat="1" ht="18.75" customHeight="1">
      <c r="A67" s="214"/>
      <c r="B67" s="214"/>
      <c r="C67" s="192" t="s">
        <v>81</v>
      </c>
      <c r="D67" s="169">
        <v>44796</v>
      </c>
      <c r="E67" s="169">
        <v>64760</v>
      </c>
      <c r="F67" s="169">
        <f>E67-D67</f>
        <v>19964</v>
      </c>
      <c r="G67" s="170">
        <f>F67/D67</f>
        <v>0.445664791499241</v>
      </c>
      <c r="H67" s="217" t="s">
        <v>82</v>
      </c>
      <c r="I67" s="224"/>
    </row>
    <row r="68" spans="1:9" s="16" customFormat="1" ht="18.75" customHeight="1">
      <c r="A68" s="214"/>
      <c r="B68" s="214"/>
      <c r="C68" s="214"/>
      <c r="D68" s="201"/>
      <c r="E68" s="201"/>
      <c r="F68" s="176"/>
      <c r="G68" s="177"/>
      <c r="H68" s="178"/>
      <c r="I68" s="189">
        <f>SUM(I69:I74)</f>
        <v>64760000</v>
      </c>
    </row>
    <row r="69" spans="1:9" s="16" customFormat="1" ht="18.75" customHeight="1">
      <c r="A69" s="214"/>
      <c r="B69" s="214"/>
      <c r="C69" s="214"/>
      <c r="D69" s="201"/>
      <c r="E69" s="201"/>
      <c r="F69" s="176"/>
      <c r="G69" s="177"/>
      <c r="H69" s="233" t="s">
        <v>188</v>
      </c>
      <c r="I69" s="189">
        <v>18000000</v>
      </c>
    </row>
    <row r="70" spans="1:9" s="16" customFormat="1" ht="18.75" customHeight="1">
      <c r="A70" s="214"/>
      <c r="B70" s="214"/>
      <c r="C70" s="214"/>
      <c r="D70" s="201"/>
      <c r="E70" s="201"/>
      <c r="F70" s="176"/>
      <c r="G70" s="177"/>
      <c r="H70" s="233" t="s">
        <v>266</v>
      </c>
      <c r="I70" s="189">
        <f>7000000</f>
        <v>7000000</v>
      </c>
    </row>
    <row r="71" spans="1:9" s="16" customFormat="1" ht="18.75" customHeight="1">
      <c r="A71" s="214"/>
      <c r="B71" s="214"/>
      <c r="C71" s="214"/>
      <c r="D71" s="201"/>
      <c r="E71" s="201"/>
      <c r="F71" s="176"/>
      <c r="G71" s="177"/>
      <c r="H71" s="233" t="s">
        <v>132</v>
      </c>
      <c r="I71" s="189">
        <f>30000*12</f>
        <v>360000</v>
      </c>
    </row>
    <row r="72" spans="1:9" s="16" customFormat="1" ht="18.75" customHeight="1">
      <c r="A72" s="214"/>
      <c r="B72" s="214"/>
      <c r="C72" s="214"/>
      <c r="D72" s="201"/>
      <c r="E72" s="201"/>
      <c r="F72" s="176"/>
      <c r="G72" s="177"/>
      <c r="H72" s="233" t="s">
        <v>287</v>
      </c>
      <c r="I72" s="189">
        <f>169600*12</f>
        <v>2035200</v>
      </c>
    </row>
    <row r="73" spans="1:9" s="16" customFormat="1" ht="18.75" customHeight="1">
      <c r="A73" s="214"/>
      <c r="B73" s="214"/>
      <c r="C73" s="214"/>
      <c r="D73" s="201"/>
      <c r="E73" s="201"/>
      <c r="F73" s="176"/>
      <c r="G73" s="177"/>
      <c r="H73" s="233" t="s">
        <v>288</v>
      </c>
      <c r="I73" s="189">
        <f>2030400*12</f>
        <v>24364800</v>
      </c>
    </row>
    <row r="74" spans="1:9" s="16" customFormat="1" ht="18.75" customHeight="1">
      <c r="A74" s="221"/>
      <c r="B74" s="221"/>
      <c r="C74" s="221"/>
      <c r="D74" s="227"/>
      <c r="E74" s="227"/>
      <c r="F74" s="183"/>
      <c r="G74" s="184"/>
      <c r="H74" s="234" t="s">
        <v>270</v>
      </c>
      <c r="I74" s="210">
        <f>6500000*2</f>
        <v>13000000</v>
      </c>
    </row>
    <row r="75" spans="1:9" ht="16.5">
      <c r="A75" s="43"/>
      <c r="B75" s="43"/>
      <c r="C75" s="44"/>
      <c r="D75" s="45"/>
      <c r="E75" s="45"/>
      <c r="F75" s="45"/>
      <c r="G75" s="43"/>
      <c r="H75" s="46"/>
      <c r="I75" s="45"/>
    </row>
    <row r="76" spans="1:9" ht="16.5">
      <c r="A76" s="39"/>
      <c r="B76" s="39"/>
      <c r="C76" s="42"/>
      <c r="D76" s="41"/>
      <c r="E76" s="41"/>
      <c r="F76" s="41"/>
      <c r="G76" s="39"/>
      <c r="H76" s="40"/>
      <c r="I76" s="41"/>
    </row>
    <row r="77" spans="1:9" ht="16.5">
      <c r="A77" s="39"/>
      <c r="B77" s="39"/>
      <c r="C77" s="42"/>
      <c r="D77" s="41"/>
      <c r="E77" s="41"/>
      <c r="F77" s="41"/>
      <c r="G77" s="39"/>
      <c r="H77" s="40"/>
      <c r="I77" s="41"/>
    </row>
    <row r="78" spans="1:9" ht="16.5">
      <c r="A78" s="39"/>
      <c r="B78" s="39"/>
      <c r="C78" s="42"/>
      <c r="D78" s="41"/>
      <c r="E78" s="41"/>
      <c r="F78" s="41"/>
      <c r="G78" s="39"/>
      <c r="H78" s="40"/>
      <c r="I78" s="41"/>
    </row>
    <row r="79" spans="1:9" ht="16.5">
      <c r="A79" s="39"/>
      <c r="B79" s="39"/>
      <c r="C79" s="42"/>
      <c r="D79" s="41"/>
      <c r="E79" s="41"/>
      <c r="F79" s="41"/>
      <c r="G79" s="39"/>
      <c r="H79" s="40"/>
      <c r="I79" s="41"/>
    </row>
    <row r="80" spans="1:9" ht="16.5">
      <c r="A80" s="39"/>
      <c r="B80" s="39"/>
      <c r="C80" s="42"/>
      <c r="D80" s="41"/>
      <c r="E80" s="41"/>
      <c r="F80" s="41"/>
      <c r="G80" s="39"/>
      <c r="H80" s="40"/>
      <c r="I80" s="41"/>
    </row>
    <row r="260" ht="13.5">
      <c r="A260" s="19"/>
    </row>
    <row r="263" ht="13.5">
      <c r="A263" s="19"/>
    </row>
  </sheetData>
  <sheetProtection/>
  <mergeCells count="13">
    <mergeCell ref="A1:B1"/>
    <mergeCell ref="A3:A4"/>
    <mergeCell ref="B3:B4"/>
    <mergeCell ref="C3:C4"/>
    <mergeCell ref="F3:G3"/>
    <mergeCell ref="H2:I2"/>
    <mergeCell ref="H3:I4"/>
    <mergeCell ref="H7:I7"/>
    <mergeCell ref="H20:I20"/>
    <mergeCell ref="H5:I5"/>
    <mergeCell ref="H8:I8"/>
    <mergeCell ref="H42:I42"/>
    <mergeCell ref="H6:I6"/>
  </mergeCells>
  <printOptions/>
  <pageMargins left="1.3385826771653544" right="0.1968503937007874" top="0.9055118110236221" bottom="0.8267716535433072" header="0.5118110236220472" footer="0.5118110236220472"/>
  <pageSetup firstPageNumber="3" useFirstPageNumber="1" horizontalDpi="600" verticalDpi="600" orientation="landscape" paperSize="9" scale="9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8.88671875" defaultRowHeight="13.5"/>
  <sheetData>
    <row r="1" spans="1:12" ht="13.5">
      <c r="A1" s="334" t="s">
        <v>371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</row>
    <row r="2" spans="1:12" ht="13.5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</row>
    <row r="3" spans="1:12" ht="13.5">
      <c r="A3" s="324"/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</row>
    <row r="4" spans="1:12" ht="13.5">
      <c r="A4" s="324"/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</row>
    <row r="5" spans="1:12" ht="13.5">
      <c r="A5" s="324"/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</row>
    <row r="6" spans="1:12" ht="13.5">
      <c r="A6" s="324"/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</row>
    <row r="7" spans="1:12" ht="13.5">
      <c r="A7" s="324"/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</row>
    <row r="8" spans="1:12" ht="13.5">
      <c r="A8" s="324"/>
      <c r="B8" s="324"/>
      <c r="C8" s="324"/>
      <c r="D8" s="324"/>
      <c r="E8" s="324"/>
      <c r="F8" s="324"/>
      <c r="G8" s="324"/>
      <c r="H8" s="324"/>
      <c r="I8" s="324"/>
      <c r="J8" s="324"/>
      <c r="K8" s="324"/>
      <c r="L8" s="324"/>
    </row>
    <row r="9" spans="1:12" ht="13.5">
      <c r="A9" s="324"/>
      <c r="B9" s="324"/>
      <c r="C9" s="324"/>
      <c r="D9" s="324"/>
      <c r="E9" s="324"/>
      <c r="F9" s="324"/>
      <c r="G9" s="324"/>
      <c r="H9" s="324"/>
      <c r="I9" s="324"/>
      <c r="J9" s="324"/>
      <c r="K9" s="324"/>
      <c r="L9" s="324"/>
    </row>
    <row r="10" spans="1:12" ht="13.5">
      <c r="A10" s="324"/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</row>
    <row r="11" spans="1:12" ht="13.5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</row>
    <row r="12" spans="1:12" ht="13.5">
      <c r="A12" s="324"/>
      <c r="B12" s="324"/>
      <c r="C12" s="324"/>
      <c r="D12" s="324"/>
      <c r="E12" s="324"/>
      <c r="F12" s="324"/>
      <c r="G12" s="324"/>
      <c r="H12" s="324"/>
      <c r="I12" s="324"/>
      <c r="J12" s="324"/>
      <c r="K12" s="324"/>
      <c r="L12" s="324"/>
    </row>
    <row r="13" spans="1:12" ht="13.5">
      <c r="A13" s="324"/>
      <c r="B13" s="324"/>
      <c r="C13" s="324"/>
      <c r="D13" s="324"/>
      <c r="E13" s="324"/>
      <c r="F13" s="324"/>
      <c r="G13" s="324"/>
      <c r="H13" s="324"/>
      <c r="I13" s="324"/>
      <c r="J13" s="324"/>
      <c r="K13" s="324"/>
      <c r="L13" s="324"/>
    </row>
    <row r="14" spans="1:12" ht="13.5">
      <c r="A14" s="324"/>
      <c r="B14" s="324"/>
      <c r="C14" s="324"/>
      <c r="D14" s="324"/>
      <c r="E14" s="324"/>
      <c r="F14" s="324"/>
      <c r="G14" s="324"/>
      <c r="H14" s="324"/>
      <c r="I14" s="324"/>
      <c r="J14" s="324"/>
      <c r="K14" s="324"/>
      <c r="L14" s="324"/>
    </row>
    <row r="15" spans="1:12" ht="13.5">
      <c r="A15" s="324"/>
      <c r="B15" s="324"/>
      <c r="C15" s="324"/>
      <c r="D15" s="324"/>
      <c r="E15" s="324"/>
      <c r="F15" s="324"/>
      <c r="G15" s="324"/>
      <c r="H15" s="324"/>
      <c r="I15" s="324"/>
      <c r="J15" s="324"/>
      <c r="K15" s="324"/>
      <c r="L15" s="324"/>
    </row>
    <row r="16" spans="1:12" ht="13.5">
      <c r="A16" s="324"/>
      <c r="B16" s="324"/>
      <c r="C16" s="324"/>
      <c r="D16" s="324"/>
      <c r="E16" s="324"/>
      <c r="F16" s="324"/>
      <c r="G16" s="324"/>
      <c r="H16" s="324"/>
      <c r="I16" s="324"/>
      <c r="J16" s="324"/>
      <c r="K16" s="324"/>
      <c r="L16" s="324"/>
    </row>
    <row r="17" spans="1:12" ht="13.5">
      <c r="A17" s="324"/>
      <c r="B17" s="324"/>
      <c r="C17" s="324"/>
      <c r="D17" s="324"/>
      <c r="E17" s="324"/>
      <c r="F17" s="324"/>
      <c r="G17" s="324"/>
      <c r="H17" s="324"/>
      <c r="I17" s="324"/>
      <c r="J17" s="324"/>
      <c r="K17" s="324"/>
      <c r="L17" s="324"/>
    </row>
    <row r="18" spans="1:12" ht="13.5">
      <c r="A18" s="324"/>
      <c r="B18" s="324"/>
      <c r="C18" s="324"/>
      <c r="D18" s="324"/>
      <c r="E18" s="324"/>
      <c r="F18" s="324"/>
      <c r="G18" s="324"/>
      <c r="H18" s="324"/>
      <c r="I18" s="324"/>
      <c r="J18" s="324"/>
      <c r="K18" s="324"/>
      <c r="L18" s="324"/>
    </row>
    <row r="19" spans="1:12" ht="13.5">
      <c r="A19" s="324"/>
      <c r="B19" s="324"/>
      <c r="C19" s="324"/>
      <c r="D19" s="324"/>
      <c r="E19" s="324"/>
      <c r="F19" s="324"/>
      <c r="G19" s="324"/>
      <c r="H19" s="324"/>
      <c r="I19" s="324"/>
      <c r="J19" s="324"/>
      <c r="K19" s="324"/>
      <c r="L19" s="324"/>
    </row>
    <row r="20" spans="1:12" ht="13.5">
      <c r="A20" s="324"/>
      <c r="B20" s="324"/>
      <c r="C20" s="324"/>
      <c r="D20" s="324"/>
      <c r="E20" s="324"/>
      <c r="F20" s="324"/>
      <c r="G20" s="324"/>
      <c r="H20" s="324"/>
      <c r="I20" s="324"/>
      <c r="J20" s="324"/>
      <c r="K20" s="324"/>
      <c r="L20" s="324"/>
    </row>
    <row r="21" spans="1:12" ht="13.5">
      <c r="A21" s="324"/>
      <c r="B21" s="324"/>
      <c r="C21" s="324"/>
      <c r="D21" s="324"/>
      <c r="E21" s="324"/>
      <c r="F21" s="324"/>
      <c r="G21" s="324"/>
      <c r="H21" s="324"/>
      <c r="I21" s="324"/>
      <c r="J21" s="324"/>
      <c r="K21" s="324"/>
      <c r="L21" s="324"/>
    </row>
    <row r="22" spans="1:12" ht="13.5">
      <c r="A22" s="324"/>
      <c r="B22" s="324"/>
      <c r="C22" s="324"/>
      <c r="D22" s="324"/>
      <c r="E22" s="324"/>
      <c r="F22" s="324"/>
      <c r="G22" s="324"/>
      <c r="H22" s="324"/>
      <c r="I22" s="324"/>
      <c r="J22" s="324"/>
      <c r="K22" s="324"/>
      <c r="L22" s="324"/>
    </row>
    <row r="23" spans="1:12" ht="13.5">
      <c r="A23" s="324"/>
      <c r="B23" s="324"/>
      <c r="C23" s="324"/>
      <c r="D23" s="324"/>
      <c r="E23" s="324"/>
      <c r="F23" s="324"/>
      <c r="G23" s="324"/>
      <c r="H23" s="324"/>
      <c r="I23" s="324"/>
      <c r="J23" s="324"/>
      <c r="K23" s="324"/>
      <c r="L23" s="324"/>
    </row>
    <row r="24" spans="1:12" ht="13.5">
      <c r="A24" s="324"/>
      <c r="B24" s="324"/>
      <c r="C24" s="324"/>
      <c r="D24" s="324"/>
      <c r="E24" s="324"/>
      <c r="F24" s="324"/>
      <c r="G24" s="324"/>
      <c r="H24" s="324"/>
      <c r="I24" s="324"/>
      <c r="J24" s="324"/>
      <c r="K24" s="324"/>
      <c r="L24" s="324"/>
    </row>
    <row r="25" spans="1:12" ht="13.5">
      <c r="A25" s="324"/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</row>
    <row r="26" spans="1:12" ht="13.5">
      <c r="A26" s="324"/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</row>
    <row r="27" spans="1:12" ht="13.5">
      <c r="A27" s="324"/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</row>
    <row r="28" spans="1:12" ht="13.5">
      <c r="A28" s="324"/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</row>
    <row r="29" spans="1:12" ht="13.5">
      <c r="A29" s="324"/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</row>
    <row r="30" spans="1:12" ht="13.5">
      <c r="A30" s="324"/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</row>
    <row r="31" spans="1:12" ht="13.5">
      <c r="A31" s="324"/>
      <c r="B31" s="324"/>
      <c r="C31" s="324"/>
      <c r="D31" s="324"/>
      <c r="E31" s="324"/>
      <c r="F31" s="324"/>
      <c r="G31" s="324"/>
      <c r="H31" s="324"/>
      <c r="I31" s="324"/>
      <c r="J31" s="324"/>
      <c r="K31" s="324"/>
      <c r="L31" s="324"/>
    </row>
    <row r="32" spans="1:12" ht="13.5">
      <c r="A32" s="324"/>
      <c r="B32" s="324"/>
      <c r="C32" s="324"/>
      <c r="D32" s="324"/>
      <c r="E32" s="324"/>
      <c r="F32" s="324"/>
      <c r="G32" s="324"/>
      <c r="H32" s="324"/>
      <c r="I32" s="324"/>
      <c r="J32" s="324"/>
      <c r="K32" s="324"/>
      <c r="L32" s="324"/>
    </row>
    <row r="33" spans="1:12" ht="13.5">
      <c r="A33" s="324"/>
      <c r="B33" s="324"/>
      <c r="C33" s="324"/>
      <c r="D33" s="324"/>
      <c r="E33" s="324"/>
      <c r="F33" s="324"/>
      <c r="G33" s="324"/>
      <c r="H33" s="324"/>
      <c r="I33" s="324"/>
      <c r="J33" s="324"/>
      <c r="K33" s="324"/>
      <c r="L33" s="324"/>
    </row>
  </sheetData>
  <sheetProtection/>
  <mergeCells count="1">
    <mergeCell ref="A1:L3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자원개발팀</dc:creator>
  <cp:keywords/>
  <dc:description/>
  <cp:lastModifiedBy>user</cp:lastModifiedBy>
  <cp:lastPrinted>2017-06-01T02:03:50Z</cp:lastPrinted>
  <dcterms:created xsi:type="dcterms:W3CDTF">2000-11-10T02:47:22Z</dcterms:created>
  <dcterms:modified xsi:type="dcterms:W3CDTF">2017-06-01T02:03:59Z</dcterms:modified>
  <cp:category/>
  <cp:version/>
  <cp:contentType/>
  <cp:contentStatus/>
</cp:coreProperties>
</file>